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mcarpenter\OneDrive - Mississippi Department of Environmental Quality\DeSoto 2nd Ozone Maint Plan\2nd Maintenance Plan\Appendices\A-7_MVEBs\"/>
    </mc:Choice>
  </mc:AlternateContent>
  <xr:revisionPtr revIDLastSave="0" documentId="13_ncr:1_{F9728133-C178-43F8-82EF-C11E560345F3}" xr6:coauthVersionLast="47" xr6:coauthVersionMax="47" xr10:uidLastSave="{00000000-0000-0000-0000-000000000000}"/>
  <bookViews>
    <workbookView xWindow="-120" yWindow="-120" windowWidth="29040" windowHeight="15840" xr2:uid="{EE56CE0F-490C-49B2-8CAA-597E3C7639E5}"/>
  </bookViews>
  <sheets>
    <sheet name="DeSoto_emissions_budget" sheetId="1" r:id="rId1"/>
    <sheet name="point" sheetId="2" r:id="rId2"/>
    <sheet name="nonpoint" sheetId="3" r:id="rId3"/>
    <sheet name="airports" sheetId="7" r:id="rId4"/>
    <sheet name="nonroad" sheetId="5" r:id="rId5"/>
    <sheet name="onroad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C11" i="1" l="1"/>
  <c r="B4" i="1" l="1"/>
  <c r="E22" i="3"/>
  <c r="O4" i="1" s="1"/>
  <c r="E4" i="1" s="1"/>
  <c r="E21" i="3"/>
  <c r="D22" i="3"/>
  <c r="D19" i="3"/>
  <c r="J14" i="3"/>
  <c r="I14" i="3"/>
  <c r="H14" i="3"/>
  <c r="G14" i="3"/>
  <c r="F14" i="3"/>
  <c r="J13" i="3"/>
  <c r="I13" i="3"/>
  <c r="H13" i="3"/>
  <c r="G13" i="3"/>
  <c r="F13" i="3"/>
  <c r="J12" i="3"/>
  <c r="I12" i="3"/>
  <c r="H12" i="3"/>
  <c r="G12" i="3"/>
  <c r="F12" i="3"/>
  <c r="J11" i="3"/>
  <c r="I11" i="3"/>
  <c r="H11" i="3"/>
  <c r="G11" i="3"/>
  <c r="F11" i="3"/>
  <c r="O7" i="1" l="1"/>
  <c r="N7" i="1"/>
  <c r="C7" i="1"/>
  <c r="B7" i="1"/>
  <c r="O6" i="1"/>
  <c r="N6" i="1"/>
  <c r="C6" i="1"/>
  <c r="B6" i="1"/>
  <c r="O5" i="1"/>
  <c r="N5" i="1"/>
  <c r="C5" i="1"/>
  <c r="B5" i="1"/>
  <c r="N4" i="7"/>
  <c r="G4" i="7"/>
  <c r="P4" i="7" s="1"/>
  <c r="R4" i="7" s="1"/>
  <c r="D17" i="7" s="1"/>
  <c r="P3" i="7"/>
  <c r="R3" i="7" s="1"/>
  <c r="D16" i="7" s="1"/>
  <c r="N3" i="7"/>
  <c r="G3" i="7"/>
  <c r="O3" i="7" s="1"/>
  <c r="Q3" i="7" s="1"/>
  <c r="C16" i="7" s="1"/>
  <c r="M7" i="1" l="1"/>
  <c r="K7" i="1"/>
  <c r="I7" i="1"/>
  <c r="G7" i="1"/>
  <c r="E7" i="1"/>
  <c r="D7" i="1"/>
  <c r="L7" i="1"/>
  <c r="J7" i="1"/>
  <c r="F7" i="1"/>
  <c r="H7" i="1"/>
  <c r="M6" i="1"/>
  <c r="K6" i="1"/>
  <c r="E6" i="1"/>
  <c r="I6" i="1"/>
  <c r="G6" i="1"/>
  <c r="L6" i="1"/>
  <c r="J6" i="1"/>
  <c r="F6" i="1"/>
  <c r="D6" i="1"/>
  <c r="H6" i="1"/>
  <c r="O4" i="7"/>
  <c r="Q4" i="7" s="1"/>
  <c r="C17" i="7" s="1"/>
  <c r="M9" i="1" l="1"/>
  <c r="M8" i="1"/>
  <c r="M5" i="1"/>
  <c r="K9" i="1"/>
  <c r="K8" i="1"/>
  <c r="K5" i="1"/>
  <c r="I9" i="1"/>
  <c r="I8" i="1"/>
  <c r="I5" i="1"/>
  <c r="G9" i="1"/>
  <c r="G8" i="1"/>
  <c r="G5" i="1"/>
  <c r="E9" i="1"/>
  <c r="E8" i="1"/>
  <c r="E5" i="1"/>
  <c r="L8" i="1"/>
  <c r="L9" i="1"/>
  <c r="L5" i="1"/>
  <c r="J9" i="1"/>
  <c r="J8" i="1"/>
  <c r="J5" i="1"/>
  <c r="H9" i="1"/>
  <c r="H8" i="1"/>
  <c r="H5" i="1"/>
  <c r="F9" i="1"/>
  <c r="F8" i="1"/>
  <c r="F5" i="1"/>
  <c r="D9" i="1"/>
  <c r="D8" i="1"/>
  <c r="D5" i="1"/>
  <c r="C3" i="1" l="1"/>
  <c r="B3" i="1"/>
  <c r="C4" i="1"/>
  <c r="N4" i="1"/>
  <c r="F4" i="1" s="1"/>
  <c r="E20" i="3"/>
  <c r="D20" i="3"/>
  <c r="E19" i="3"/>
  <c r="J18" i="3"/>
  <c r="I18" i="3"/>
  <c r="H18" i="3"/>
  <c r="G18" i="3"/>
  <c r="F18" i="3"/>
  <c r="J17" i="3"/>
  <c r="I17" i="3"/>
  <c r="H17" i="3"/>
  <c r="G17" i="3"/>
  <c r="F17" i="3"/>
  <c r="J16" i="3"/>
  <c r="I16" i="3"/>
  <c r="H16" i="3"/>
  <c r="G16" i="3"/>
  <c r="F16" i="3"/>
  <c r="J15" i="3"/>
  <c r="I15" i="3"/>
  <c r="H15" i="3"/>
  <c r="G15" i="3"/>
  <c r="F15" i="3"/>
  <c r="J10" i="3"/>
  <c r="I10" i="3"/>
  <c r="H10" i="3"/>
  <c r="G10" i="3"/>
  <c r="F10" i="3"/>
  <c r="J9" i="3"/>
  <c r="I9" i="3"/>
  <c r="H9" i="3"/>
  <c r="G9" i="3"/>
  <c r="F9" i="3"/>
  <c r="J8" i="3"/>
  <c r="I8" i="3"/>
  <c r="H8" i="3"/>
  <c r="G8" i="3"/>
  <c r="F8" i="3"/>
  <c r="J7" i="3"/>
  <c r="I7" i="3"/>
  <c r="H7" i="3"/>
  <c r="G7" i="3"/>
  <c r="F7" i="3"/>
  <c r="J6" i="3"/>
  <c r="I6" i="3"/>
  <c r="H6" i="3"/>
  <c r="G6" i="3"/>
  <c r="F6" i="3"/>
  <c r="J5" i="3"/>
  <c r="I5" i="3"/>
  <c r="H5" i="3"/>
  <c r="G5" i="3"/>
  <c r="F5" i="3"/>
  <c r="J4" i="3"/>
  <c r="I4" i="3"/>
  <c r="H4" i="3"/>
  <c r="G4" i="3"/>
  <c r="F4" i="3"/>
  <c r="J3" i="3"/>
  <c r="I3" i="3"/>
  <c r="H3" i="3"/>
  <c r="G3" i="3"/>
  <c r="F3" i="3"/>
  <c r="I13" i="2"/>
  <c r="H13" i="2"/>
  <c r="G13" i="2"/>
  <c r="H12" i="2"/>
  <c r="F12" i="2"/>
  <c r="N3" i="1" s="1"/>
  <c r="K11" i="2"/>
  <c r="J11" i="2"/>
  <c r="I11" i="2"/>
  <c r="H11" i="2"/>
  <c r="G11" i="2"/>
  <c r="K10" i="2"/>
  <c r="J10" i="2"/>
  <c r="I10" i="2"/>
  <c r="H10" i="2"/>
  <c r="G10" i="2"/>
  <c r="K9" i="2"/>
  <c r="J9" i="2"/>
  <c r="I9" i="2"/>
  <c r="H9" i="2"/>
  <c r="G9" i="2"/>
  <c r="K8" i="2"/>
  <c r="J8" i="2"/>
  <c r="I8" i="2"/>
  <c r="H8" i="2"/>
  <c r="G8" i="2"/>
  <c r="G12" i="2" s="1"/>
  <c r="K7" i="2"/>
  <c r="J7" i="2"/>
  <c r="I7" i="2"/>
  <c r="H7" i="2"/>
  <c r="G7" i="2"/>
  <c r="K6" i="2"/>
  <c r="J6" i="2"/>
  <c r="I6" i="2"/>
  <c r="H6" i="2"/>
  <c r="G6" i="2"/>
  <c r="K5" i="2"/>
  <c r="J5" i="2"/>
  <c r="I5" i="2"/>
  <c r="H5" i="2"/>
  <c r="G5" i="2"/>
  <c r="K4" i="2"/>
  <c r="J4" i="2"/>
  <c r="I4" i="2"/>
  <c r="H4" i="2"/>
  <c r="G4" i="2"/>
  <c r="K3" i="2"/>
  <c r="J3" i="2"/>
  <c r="I3" i="2"/>
  <c r="H3" i="2"/>
  <c r="G3" i="2"/>
  <c r="K2" i="2"/>
  <c r="K12" i="2" s="1"/>
  <c r="J2" i="2"/>
  <c r="J12" i="2" s="1"/>
  <c r="I2" i="2"/>
  <c r="I12" i="2" s="1"/>
  <c r="H2" i="2"/>
  <c r="G2" i="2"/>
  <c r="F13" i="2"/>
  <c r="O3" i="1" s="1"/>
  <c r="E13" i="2"/>
  <c r="E12" i="2"/>
  <c r="I22" i="3" l="1"/>
  <c r="G21" i="3"/>
  <c r="H21" i="3"/>
  <c r="F19" i="3"/>
  <c r="G19" i="3"/>
  <c r="F21" i="3"/>
  <c r="I19" i="3"/>
  <c r="J19" i="3"/>
  <c r="G20" i="3"/>
  <c r="F20" i="3"/>
  <c r="G22" i="3"/>
  <c r="H19" i="3"/>
  <c r="I21" i="3"/>
  <c r="H20" i="3"/>
  <c r="I20" i="3"/>
  <c r="J20" i="3"/>
  <c r="L4" i="1"/>
  <c r="D4" i="1"/>
  <c r="J4" i="1"/>
  <c r="H4" i="1"/>
  <c r="B10" i="1"/>
  <c r="J21" i="3"/>
  <c r="K4" i="1"/>
  <c r="I4" i="1"/>
  <c r="G4" i="1"/>
  <c r="M4" i="1"/>
  <c r="F22" i="3"/>
  <c r="H22" i="3"/>
  <c r="J22" i="3"/>
  <c r="C10" i="1"/>
  <c r="K13" i="2"/>
  <c r="J13" i="2"/>
  <c r="D3" i="1"/>
  <c r="L3" i="1"/>
  <c r="J3" i="1"/>
  <c r="H3" i="1"/>
  <c r="F3" i="1"/>
  <c r="N10" i="1"/>
  <c r="K3" i="1"/>
  <c r="E3" i="1"/>
  <c r="I3" i="1"/>
  <c r="M3" i="1"/>
  <c r="G3" i="1"/>
  <c r="O10" i="1"/>
  <c r="O11" i="1" s="1"/>
  <c r="N11" i="1" l="1"/>
  <c r="B11" i="1"/>
  <c r="L10" i="1"/>
  <c r="L11" i="1" s="1"/>
  <c r="F10" i="1"/>
  <c r="F11" i="1" s="1"/>
  <c r="G10" i="1"/>
  <c r="G11" i="1" s="1"/>
  <c r="M10" i="1"/>
  <c r="M11" i="1" s="1"/>
  <c r="H10" i="1"/>
  <c r="H11" i="1" s="1"/>
  <c r="J10" i="1"/>
  <c r="J11" i="1" s="1"/>
  <c r="D10" i="1"/>
  <c r="D11" i="1" s="1"/>
  <c r="I10" i="1"/>
  <c r="I11" i="1" s="1"/>
  <c r="E10" i="1"/>
  <c r="E11" i="1" s="1"/>
  <c r="K10" i="1"/>
  <c r="K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 Carpenter</author>
  </authors>
  <commentList>
    <comment ref="B13" authorId="0" shapeId="0" xr:uid="{7F0094EE-82FF-4146-822A-A9D912870706}">
      <text>
        <r>
          <rPr>
            <b/>
            <sz val="9"/>
            <color indexed="81"/>
            <rFont val="Tahoma"/>
            <family val="2"/>
          </rPr>
          <t>Matt Carpenter:</t>
        </r>
        <r>
          <rPr>
            <sz val="9"/>
            <color indexed="81"/>
            <rFont val="Tahoma"/>
            <family val="2"/>
          </rPr>
          <t xml:space="preserve">
Interpolated from 2016v3 modeling platform emissions.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 Carpenter</author>
  </authors>
  <commentList>
    <comment ref="P2" authorId="0" shapeId="0" xr:uid="{C0D5288D-2BDB-4F6B-9BC3-75E49C6B740B}">
      <text>
        <r>
          <rPr>
            <b/>
            <sz val="9"/>
            <color indexed="81"/>
            <rFont val="Tahoma"/>
            <family val="2"/>
          </rPr>
          <t>Matt Carpenter:</t>
        </r>
        <r>
          <rPr>
            <sz val="9"/>
            <color indexed="81"/>
            <rFont val="Tahoma"/>
            <family val="2"/>
          </rPr>
          <t xml:space="preserve">
Excluding Olive Branch Airport
</t>
        </r>
      </text>
    </comment>
  </commentList>
</comments>
</file>

<file path=xl/sharedStrings.xml><?xml version="1.0" encoding="utf-8"?>
<sst xmlns="http://schemas.openxmlformats.org/spreadsheetml/2006/main" count="166" uniqueCount="92">
  <si>
    <t>Source</t>
  </si>
  <si>
    <t>NOx</t>
  </si>
  <si>
    <t>VOC</t>
  </si>
  <si>
    <t>Nonpoint</t>
  </si>
  <si>
    <t>Nonroad</t>
  </si>
  <si>
    <t>Aircraft</t>
  </si>
  <si>
    <t>Average Summer Day (tons)</t>
  </si>
  <si>
    <t>AI</t>
  </si>
  <si>
    <t>Facility</t>
  </si>
  <si>
    <t>Pollutant</t>
  </si>
  <si>
    <r>
      <t>July 2017 (tons/day)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</si>
  <si>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t>Projected July 2036</t>
  </si>
  <si>
    <t>Ardagh Metal Packaging USA Corp</t>
  </si>
  <si>
    <t>Rite Hite Products</t>
  </si>
  <si>
    <t>Sector</t>
  </si>
  <si>
    <t>ptnonipm</t>
  </si>
  <si>
    <t>TVA Southaven Combined Cycle Plant</t>
  </si>
  <si>
    <t>ptegu</t>
  </si>
  <si>
    <t>Projection Source</t>
  </si>
  <si>
    <t>Texas Gas Transmission Lake Cormorant</t>
  </si>
  <si>
    <t>pt_oilgas</t>
  </si>
  <si>
    <t>2016v3 sector extrapolation</t>
  </si>
  <si>
    <t>2016v3 SCC proj factors</t>
  </si>
  <si>
    <t>Point Totals</t>
  </si>
  <si>
    <t>(1) Intermediary years calculated using linear interpolation between 2017 and 2036</t>
  </si>
  <si>
    <t xml:space="preserve">(2) 2016v3 Modeling platform sector growth linear extraplotion calculated between 2016 and 2026 </t>
  </si>
  <si>
    <t>County code</t>
  </si>
  <si>
    <t>Sector ID</t>
  </si>
  <si>
    <t>Nonpoint Emissions - Tons per Summer Day</t>
  </si>
  <si>
    <t>livestock</t>
  </si>
  <si>
    <t>nonpt</t>
  </si>
  <si>
    <t>np_solvents</t>
  </si>
  <si>
    <r>
      <t>ptagfire</t>
    </r>
    <r>
      <rPr>
        <vertAlign val="superscript"/>
        <sz val="11"/>
        <color theme="1"/>
        <rFont val="Aptos Narrow"/>
        <family val="2"/>
        <scheme val="minor"/>
      </rPr>
      <t>1</t>
    </r>
  </si>
  <si>
    <r>
      <t>cmv_c1c2_12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</si>
  <si>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rail</t>
    </r>
    <r>
      <rPr>
        <vertAlign val="superscript"/>
        <sz val="11"/>
        <color theme="1"/>
        <rFont val="Aptos Narrow"/>
        <family val="2"/>
        <scheme val="minor"/>
      </rPr>
      <t>2</t>
    </r>
  </si>
  <si>
    <t>rwc</t>
  </si>
  <si>
    <t>(3) Intermediary years calculated using linear interpolation between 2017 and 2036</t>
  </si>
  <si>
    <t>Nonpoint Totals</t>
  </si>
  <si>
    <t>Nonpoint (excl cmv and rail)</t>
  </si>
  <si>
    <t>Point</t>
  </si>
  <si>
    <t>ptfire-rx</t>
  </si>
  <si>
    <t>ptfire-wild</t>
  </si>
  <si>
    <t>Totals</t>
  </si>
  <si>
    <t>Analysis Year</t>
  </si>
  <si>
    <t>Emissions (tons/day)</t>
  </si>
  <si>
    <t>Volatile Organic Compounds (VOC)</t>
  </si>
  <si>
    <r>
      <t>Oxide of Nitrogen
(NO</t>
    </r>
    <r>
      <rPr>
        <b/>
        <vertAlign val="subscript"/>
        <sz val="9"/>
        <color rgb="FFFFFFFF"/>
        <rFont val="Century Gothic"/>
        <family val="2"/>
      </rPr>
      <t>x</t>
    </r>
    <r>
      <rPr>
        <b/>
        <sz val="9"/>
        <color rgb="FFFFFFFF"/>
        <rFont val="Century Gothic"/>
        <family val="2"/>
      </rPr>
      <t>)</t>
    </r>
  </si>
  <si>
    <t>Modeled</t>
  </si>
  <si>
    <t>Summary of DeSoto County Nonroad Source Emissions</t>
  </si>
  <si>
    <t>Country code</t>
  </si>
  <si>
    <t>sector group</t>
  </si>
  <si>
    <t>2016 annual value</t>
  </si>
  <si>
    <t>2017 annual value (NEI)</t>
  </si>
  <si>
    <t>2023 annual value</t>
  </si>
  <si>
    <t>2026 annual value</t>
  </si>
  <si>
    <t>2023 July value</t>
  </si>
  <si>
    <t>2026 July value</t>
  </si>
  <si>
    <t>Average % Emissions in July</t>
  </si>
  <si>
    <t>2036 July Projection</t>
  </si>
  <si>
    <r>
      <t>2016 July value</t>
    </r>
    <r>
      <rPr>
        <b/>
        <vertAlign val="superscript"/>
        <sz val="11"/>
        <color theme="1"/>
        <rFont val="Aptos Narrow"/>
        <family val="2"/>
        <scheme val="minor"/>
      </rPr>
      <t>1</t>
    </r>
  </si>
  <si>
    <t>US</t>
  </si>
  <si>
    <t>airports</t>
  </si>
  <si>
    <t>point</t>
  </si>
  <si>
    <t>NOX</t>
  </si>
  <si>
    <t>VOC_INV</t>
  </si>
  <si>
    <t>Olive Branch Airport</t>
  </si>
  <si>
    <t>2017 tons</t>
  </si>
  <si>
    <t>2036 tons</t>
  </si>
  <si>
    <t>% July (from 2016v3)</t>
  </si>
  <si>
    <t>2017 Summer Day Tons</t>
  </si>
  <si>
    <t>2036 Summer Day Tons</t>
  </si>
  <si>
    <t xml:space="preserve">NOx </t>
  </si>
  <si>
    <t>2016v3 Projections for DeSoto (excluding Olive Branch Airport)</t>
  </si>
  <si>
    <t>Olive Branch Airpor Emissions 2017 NEI</t>
  </si>
  <si>
    <t>2017 Summer Day</t>
  </si>
  <si>
    <t>2036 Summer Day</t>
  </si>
  <si>
    <t>FAA TAF Projections for Olive Branch Airport</t>
  </si>
  <si>
    <t>DeSoto County Airport Summer Day Totals</t>
  </si>
  <si>
    <r>
      <t>2017 July Value (NEI)</t>
    </r>
    <r>
      <rPr>
        <b/>
        <vertAlign val="superscript"/>
        <sz val="11"/>
        <color theme="1"/>
        <rFont val="Aptos Narrow"/>
        <family val="2"/>
        <scheme val="minor"/>
      </rPr>
      <t>2</t>
    </r>
  </si>
  <si>
    <t>Locomotive</t>
  </si>
  <si>
    <t>Marine</t>
  </si>
  <si>
    <t>(1) ptagfire July factor in 2016v3 is 0.  1/12 of annual emissions assumed for July instead. Growth factor of 1. Included in fires total</t>
  </si>
  <si>
    <t>Safety Margin</t>
  </si>
  <si>
    <t>2019AEO</t>
  </si>
  <si>
    <t xml:space="preserve">(2) Rail and marine vessel sectors considered nonpoint mobile </t>
  </si>
  <si>
    <t>J T Shannon Lumber Company</t>
  </si>
  <si>
    <r>
      <t>No growth - EPA Guidance</t>
    </r>
    <r>
      <rPr>
        <vertAlign val="superscript"/>
        <sz val="11"/>
        <color theme="1"/>
        <rFont val="Aptos Narrow"/>
        <family val="2"/>
        <scheme val="minor"/>
      </rPr>
      <t>3</t>
    </r>
  </si>
  <si>
    <t>(3) https://www.epa.gov/sites/default/files/2016-12/documents/2016_ei_guidance_for_naaqs.pdf</t>
  </si>
  <si>
    <t>Summary of DeSoto County Total Mobile Source Emissions</t>
  </si>
  <si>
    <t>Onroad</t>
  </si>
  <si>
    <r>
      <t>No Growth - EPA Guidance</t>
    </r>
    <r>
      <rPr>
        <vertAlign val="superscript"/>
        <sz val="11"/>
        <color theme="1"/>
        <rFont val="Aptos Narrow"/>
        <family val="2"/>
        <scheme val="minor"/>
      </rPr>
      <t>4</t>
    </r>
  </si>
  <si>
    <t>(4) https://www.epa.gov/sites/default/files/2016-12/documents/2016_ei_guidance_for_naaqs.pdf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</si>
</sst>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b/>
      <sz val="10"/>
      <color rgb="FFFFFFFF"/>
      <name val="Segoe UI"/>
      <family val="2"/>
    </font>
    <font>
      <b/>
      <vertAlign val="subscript"/>
      <sz val="9"/>
      <color rgb="FFFFFFFF"/>
      <name val="Century Gothic"/>
      <family val="2"/>
    </font>
    <font>
      <b/>
      <sz val="9"/>
      <color rgb="FFFFFFFF"/>
      <name val="Century Gothic"/>
      <family val="2"/>
    </font>
    <font>
      <b/>
      <sz val="10"/>
      <color rgb="FF000000"/>
      <name val="Segoe UI"/>
      <family val="2"/>
    </font>
    <font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56565B"/>
        <bgColor indexed="64"/>
      </patternFill>
    </fill>
    <fill>
      <patternFill patternType="solid">
        <fgColor rgb="FFE6E6E6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/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0" fillId="0" borderId="6" xfId="0" applyBorder="1"/>
    <xf numFmtId="0" fontId="0" fillId="0" borderId="9" xfId="0" applyBorder="1"/>
    <xf numFmtId="0" fontId="1" fillId="0" borderId="1" xfId="0" applyFon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9" xfId="0" applyFont="1" applyBorder="1" applyAlignment="1">
      <alignment horizontal="center" wrapText="1"/>
    </xf>
    <xf numFmtId="164" fontId="0" fillId="0" borderId="0" xfId="0" applyNumberFormat="1"/>
    <xf numFmtId="0" fontId="0" fillId="0" borderId="17" xfId="0" applyBorder="1"/>
    <xf numFmtId="0" fontId="1" fillId="0" borderId="17" xfId="0" applyFont="1" applyBorder="1"/>
    <xf numFmtId="0" fontId="1" fillId="0" borderId="6" xfId="0" applyFont="1" applyBorder="1"/>
    <xf numFmtId="0" fontId="1" fillId="0" borderId="18" xfId="0" applyFont="1" applyBorder="1"/>
    <xf numFmtId="0" fontId="1" fillId="0" borderId="9" xfId="0" applyFont="1" applyBorder="1"/>
    <xf numFmtId="164" fontId="0" fillId="0" borderId="4" xfId="0" applyNumberFormat="1" applyBorder="1"/>
    <xf numFmtId="0" fontId="1" fillId="0" borderId="4" xfId="0" applyFont="1" applyBorder="1" applyAlignment="1">
      <alignment horizontal="center"/>
    </xf>
    <xf numFmtId="0" fontId="0" fillId="0" borderId="10" xfId="0" applyBorder="1"/>
    <xf numFmtId="0" fontId="1" fillId="0" borderId="19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/>
    <xf numFmtId="0" fontId="1" fillId="0" borderId="4" xfId="0" applyFont="1" applyBorder="1" applyAlignment="1">
      <alignment horizontal="center" vertical="center" wrapText="1"/>
    </xf>
    <xf numFmtId="0" fontId="0" fillId="0" borderId="0" xfId="0" quotePrefix="1"/>
    <xf numFmtId="0" fontId="4" fillId="3" borderId="27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164" fontId="7" fillId="4" borderId="2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8" fillId="0" borderId="0" xfId="0" applyFont="1"/>
    <xf numFmtId="1" fontId="9" fillId="0" borderId="0" xfId="0" applyNumberFormat="1" applyFont="1"/>
    <xf numFmtId="2" fontId="0" fillId="0" borderId="0" xfId="0" applyNumberFormat="1"/>
    <xf numFmtId="2" fontId="1" fillId="0" borderId="7" xfId="0" applyNumberFormat="1" applyFont="1" applyBorder="1"/>
    <xf numFmtId="2" fontId="1" fillId="0" borderId="17" xfId="0" applyNumberFormat="1" applyFont="1" applyBorder="1"/>
    <xf numFmtId="2" fontId="1" fillId="0" borderId="0" xfId="0" applyNumberFormat="1" applyFont="1"/>
    <xf numFmtId="2" fontId="1" fillId="0" borderId="6" xfId="0" applyNumberFormat="1" applyFont="1" applyBorder="1"/>
    <xf numFmtId="2" fontId="1" fillId="0" borderId="10" xfId="0" applyNumberFormat="1" applyFont="1" applyBorder="1"/>
    <xf numFmtId="2" fontId="1" fillId="0" borderId="9" xfId="0" applyNumberFormat="1" applyFont="1" applyBorder="1"/>
    <xf numFmtId="2" fontId="0" fillId="0" borderId="4" xfId="0" applyNumberFormat="1" applyBorder="1"/>
    <xf numFmtId="2" fontId="1" fillId="0" borderId="4" xfId="0" applyNumberFormat="1" applyFont="1" applyBorder="1"/>
    <xf numFmtId="2" fontId="0" fillId="0" borderId="10" xfId="0" applyNumberFormat="1" applyBorder="1"/>
    <xf numFmtId="0" fontId="4" fillId="3" borderId="26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AF2CA-874C-4321-B7C9-5EBE29166BB3}">
  <sheetPr codeName="Sheet1"/>
  <dimension ref="A1:O19"/>
  <sheetViews>
    <sheetView tabSelected="1" workbookViewId="0">
      <selection activeCell="O4" sqref="O4"/>
    </sheetView>
  </sheetViews>
  <sheetFormatPr defaultRowHeight="15" x14ac:dyDescent="0.25"/>
  <cols>
    <col min="1" max="1" width="27.7109375" customWidth="1"/>
    <col min="4" max="13" width="9.140625" customWidth="1"/>
  </cols>
  <sheetData>
    <row r="1" spans="1:15" x14ac:dyDescent="0.25">
      <c r="A1" t="s">
        <v>6</v>
      </c>
      <c r="B1" s="58">
        <v>2017</v>
      </c>
      <c r="C1" s="58"/>
      <c r="D1" s="58">
        <v>2020</v>
      </c>
      <c r="E1" s="58"/>
      <c r="F1" s="58">
        <v>2023</v>
      </c>
      <c r="G1" s="58"/>
      <c r="H1" s="58">
        <v>2026</v>
      </c>
      <c r="I1" s="58"/>
      <c r="J1" s="58">
        <v>2029</v>
      </c>
      <c r="K1" s="58"/>
      <c r="L1" s="58">
        <v>2032</v>
      </c>
      <c r="M1" s="58"/>
      <c r="N1" s="58">
        <v>2036</v>
      </c>
      <c r="O1" s="58"/>
    </row>
    <row r="2" spans="1:15" x14ac:dyDescent="0.25">
      <c r="A2" t="s">
        <v>0</v>
      </c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  <c r="H2" t="s">
        <v>1</v>
      </c>
      <c r="I2" t="s">
        <v>2</v>
      </c>
      <c r="J2" t="s">
        <v>1</v>
      </c>
      <c r="K2" t="s">
        <v>2</v>
      </c>
      <c r="L2" t="s">
        <v>1</v>
      </c>
      <c r="M2" t="s">
        <v>2</v>
      </c>
      <c r="N2" t="s">
        <v>1</v>
      </c>
      <c r="O2" t="s">
        <v>2</v>
      </c>
    </row>
    <row r="3" spans="1:15" x14ac:dyDescent="0.25">
      <c r="A3" t="s">
        <v>39</v>
      </c>
      <c r="B3" s="45">
        <f>point!E12</f>
        <v>1.2865057203703971</v>
      </c>
      <c r="C3" s="45">
        <f>point!E13</f>
        <v>0.47106944300067927</v>
      </c>
      <c r="D3" s="45">
        <f t="shared" ref="D3:D9" si="0">$B3*((2036-D$1)/(2036-2017))+$N3*((D$1-2017)/(2036-2017))</f>
        <v>1.353130401801717</v>
      </c>
      <c r="E3" s="45">
        <f>$C3*((2036-D$1)/(2036-2017))+$O3*((D$1-2017)/(2036-2017))</f>
        <v>0.47327824147067132</v>
      </c>
      <c r="F3" s="45">
        <f t="shared" ref="F3:F9" si="1">$B3*((2036-F$1)/(2036-2017))+$N3*((F$1-2017)/(2036-2017))</f>
        <v>1.4197550832330372</v>
      </c>
      <c r="G3" s="45">
        <f t="shared" ref="G3:G9" si="2">$C3*((2036-F$1)/(2036-2017))+$O3*((F$1-2017)/(2036-2017))</f>
        <v>0.47548703994066344</v>
      </c>
      <c r="H3" s="45">
        <f t="shared" ref="H3:H9" si="3">$B3*((2036-H$1)/(2036-2017))+$N3*((H$1-2017)/(2036-2017))</f>
        <v>1.4863797646643575</v>
      </c>
      <c r="I3" s="45">
        <f t="shared" ref="I3:I9" si="4">$C3*((2036-H$1)/(2036-2017))+$O3*((H$1-2017)/(2036-2017))</f>
        <v>0.47769583841065544</v>
      </c>
      <c r="J3" s="45">
        <f t="shared" ref="J3:J9" si="5">$B3*((2036-J$1)/(2036-2017))+$N3*((J$1-2017)/(2036-2017))</f>
        <v>1.5530044460956773</v>
      </c>
      <c r="K3" s="45">
        <f t="shared" ref="K3:K9" si="6">$C3*((2036-J$1)/(2036-2017))+$O3*((J$1-2017)/(2036-2017))</f>
        <v>0.47990463688064755</v>
      </c>
      <c r="L3" s="45">
        <f t="shared" ref="L3:L9" si="7">$B3*((2036-L$1)/(2036-2017))+$N3*((L$1-2017)/(2036-2017))</f>
        <v>1.6196291275269976</v>
      </c>
      <c r="M3" s="45">
        <f t="shared" ref="M3:M9" si="8">$C3*((2036-L$1)/(2036-2017))+$O3*((L$1-2017)/(2036-2017))</f>
        <v>0.48211343535063966</v>
      </c>
      <c r="N3" s="45">
        <f>point!F12</f>
        <v>1.708462036102091</v>
      </c>
      <c r="O3" s="45">
        <f>point!F13</f>
        <v>0.48505849997729578</v>
      </c>
    </row>
    <row r="4" spans="1:15" x14ac:dyDescent="0.25">
      <c r="A4" t="s">
        <v>3</v>
      </c>
      <c r="B4" s="45">
        <f>nonpoint!D21</f>
        <v>1.230499403613518</v>
      </c>
      <c r="C4" s="45">
        <f>nonpoint!D22</f>
        <v>8.4395745259565498</v>
      </c>
      <c r="D4" s="45">
        <f t="shared" si="0"/>
        <v>1.2215632994403309</v>
      </c>
      <c r="E4" s="45">
        <f>$C4*((2036-D$1)/(2036-2017))+$O4*((D$1-2017)/(2036-2017))</f>
        <v>8.2662283788530466</v>
      </c>
      <c r="F4" s="45">
        <f t="shared" si="1"/>
        <v>1.2126271952671439</v>
      </c>
      <c r="G4" s="45">
        <f t="shared" si="2"/>
        <v>8.092882231749547</v>
      </c>
      <c r="H4" s="45">
        <f t="shared" si="3"/>
        <v>1.2036910910939569</v>
      </c>
      <c r="I4" s="45">
        <f t="shared" si="4"/>
        <v>7.9195360846460439</v>
      </c>
      <c r="J4" s="45">
        <f t="shared" si="5"/>
        <v>1.1947549869207699</v>
      </c>
      <c r="K4" s="45">
        <f t="shared" si="6"/>
        <v>7.7461899375425425</v>
      </c>
      <c r="L4" s="45">
        <f t="shared" si="7"/>
        <v>1.1858188827475828</v>
      </c>
      <c r="M4" s="45">
        <f t="shared" si="8"/>
        <v>7.5728437904390411</v>
      </c>
      <c r="N4" s="45">
        <f>nonpoint!E21</f>
        <v>1.1739040771833336</v>
      </c>
      <c r="O4" s="45">
        <f>nonpoint!E22</f>
        <v>7.3417155943010384</v>
      </c>
    </row>
    <row r="5" spans="1:15" x14ac:dyDescent="0.25">
      <c r="A5" t="s">
        <v>5</v>
      </c>
      <c r="B5" s="45">
        <f>airports!C16</f>
        <v>1.5732992967986411E-2</v>
      </c>
      <c r="C5" s="45">
        <f>airports!C17</f>
        <v>1.7747547495491563E-2</v>
      </c>
      <c r="D5" s="45">
        <f t="shared" si="0"/>
        <v>1.7705200127820606E-2</v>
      </c>
      <c r="E5" s="45">
        <f t="shared" ref="E5:E9" si="9">$C5*((2036-D$1)/(2036-2017))+$O5*((D$1-2017)/(2036-2017))</f>
        <v>2.0017637148249393E-2</v>
      </c>
      <c r="F5" s="45">
        <f t="shared" si="1"/>
        <v>1.9677407287654804E-2</v>
      </c>
      <c r="G5" s="45">
        <f t="shared" si="2"/>
        <v>2.2287726801007223E-2</v>
      </c>
      <c r="H5" s="45">
        <f t="shared" si="3"/>
        <v>2.1649614447489002E-2</v>
      </c>
      <c r="I5" s="45">
        <f t="shared" si="4"/>
        <v>2.4557816453765053E-2</v>
      </c>
      <c r="J5" s="45">
        <f t="shared" si="5"/>
        <v>2.36218216073232E-2</v>
      </c>
      <c r="K5" s="45">
        <f t="shared" si="6"/>
        <v>2.6827906106522883E-2</v>
      </c>
      <c r="L5" s="45">
        <f t="shared" si="7"/>
        <v>2.5594028767157401E-2</v>
      </c>
      <c r="M5" s="45">
        <f t="shared" si="8"/>
        <v>2.9097995759280716E-2</v>
      </c>
      <c r="N5" s="45">
        <f>airports!D16</f>
        <v>2.8223638313602997E-2</v>
      </c>
      <c r="O5" s="45">
        <f>airports!D17</f>
        <v>3.2124781962957823E-2</v>
      </c>
    </row>
    <row r="6" spans="1:15" x14ac:dyDescent="0.25">
      <c r="A6" t="s">
        <v>79</v>
      </c>
      <c r="B6" s="45">
        <f>nonpoint!D15</f>
        <v>0.43970117641310646</v>
      </c>
      <c r="C6" s="45">
        <f>nonpoint!D16</f>
        <v>2.0438324234604507E-2</v>
      </c>
      <c r="D6" s="45">
        <f t="shared" si="0"/>
        <v>0.41458086275534939</v>
      </c>
      <c r="E6" s="45">
        <f>$C6*((2036-D$1)/(2036-2017))+$O6*((D$1-2017)/(2036-2017))</f>
        <v>1.8851917497731466E-2</v>
      </c>
      <c r="F6" s="45">
        <f t="shared" si="1"/>
        <v>0.38946054909759231</v>
      </c>
      <c r="G6" s="45">
        <f>$C6*((2036-F$1)/(2036-2017))+$O6*((F$1-2017)/(2036-2017))</f>
        <v>1.7265510760858433E-2</v>
      </c>
      <c r="H6" s="45">
        <f t="shared" si="3"/>
        <v>0.36434023543983518</v>
      </c>
      <c r="I6" s="45">
        <f>$C6*((2036-H$1)/(2036-2017))+$O6*((H$1-2017)/(2036-2017))</f>
        <v>1.5679104023985393E-2</v>
      </c>
      <c r="J6" s="45">
        <f t="shared" si="5"/>
        <v>0.33921992178207816</v>
      </c>
      <c r="K6" s="45">
        <f>$C6*((2036-J$1)/(2036-2017))+$O6*((J$1-2017)/(2036-2017))</f>
        <v>1.4092697287112356E-2</v>
      </c>
      <c r="L6" s="45">
        <f t="shared" si="7"/>
        <v>0.31409960812432114</v>
      </c>
      <c r="M6" s="45">
        <f>$C6*((2036-L$1)/(2036-2017))+$O6*((L$1-2017)/(2036-2017))</f>
        <v>1.2506290550239319E-2</v>
      </c>
      <c r="N6" s="45">
        <f>nonpoint!E15</f>
        <v>0.28060585658064502</v>
      </c>
      <c r="O6" s="45">
        <f>nonpoint!E16</f>
        <v>1.0391081567741937E-2</v>
      </c>
    </row>
    <row r="7" spans="1:15" x14ac:dyDescent="0.25">
      <c r="A7" t="s">
        <v>80</v>
      </c>
      <c r="B7" s="45">
        <f>nonpoint!D3</f>
        <v>0.25348420864650029</v>
      </c>
      <c r="C7" s="45">
        <f>nonpoint!D4</f>
        <v>1.6003722704463725E-2</v>
      </c>
      <c r="D7" s="45">
        <f t="shared" si="0"/>
        <v>0.2246338059009578</v>
      </c>
      <c r="E7" s="45">
        <f>$C7*((2036-D$1)/(2036-2017))+$O7*((D$1-2017)/(2036-2017))</f>
        <v>1.4043249765728365E-2</v>
      </c>
      <c r="F7" s="45">
        <f t="shared" si="1"/>
        <v>0.19578340315541531</v>
      </c>
      <c r="G7" s="45">
        <f>$C7*((2036-F$1)/(2036-2017))+$O7*((F$1-2017)/(2036-2017))</f>
        <v>1.2082776826993007E-2</v>
      </c>
      <c r="H7" s="45">
        <f t="shared" si="3"/>
        <v>0.16693300040987283</v>
      </c>
      <c r="I7" s="45">
        <f>$C7*((2036-H$1)/(2036-2017))+$O7*((H$1-2017)/(2036-2017))</f>
        <v>1.0122303888257647E-2</v>
      </c>
      <c r="J7" s="45">
        <f t="shared" si="5"/>
        <v>0.13808259766433034</v>
      </c>
      <c r="K7" s="45">
        <f>$C7*((2036-J$1)/(2036-2017))+$O7*((J$1-2017)/(2036-2017))</f>
        <v>8.161830949522289E-3</v>
      </c>
      <c r="L7" s="45">
        <f t="shared" si="7"/>
        <v>0.10923219491878786</v>
      </c>
      <c r="M7" s="45">
        <f>$C7*((2036-L$1)/(2036-2017))+$O7*((L$1-2017)/(2036-2017))</f>
        <v>6.2013580107869292E-3</v>
      </c>
      <c r="N7" s="45">
        <f>nonpoint!E3</f>
        <v>7.0764991258064541E-2</v>
      </c>
      <c r="O7" s="45">
        <f>nonpoint!E4</f>
        <v>3.5873940924731171E-3</v>
      </c>
    </row>
    <row r="8" spans="1:15" ht="16.5" x14ac:dyDescent="0.25">
      <c r="A8" t="s">
        <v>89</v>
      </c>
      <c r="B8" s="45">
        <v>5.93</v>
      </c>
      <c r="C8" s="45">
        <v>3.1549999999999998</v>
      </c>
      <c r="D8" s="45">
        <f t="shared" si="0"/>
        <v>5.1913684210526316</v>
      </c>
      <c r="E8" s="45">
        <f t="shared" si="9"/>
        <v>2.9138947368421046</v>
      </c>
      <c r="F8" s="45">
        <f t="shared" si="1"/>
        <v>4.4527368421052627</v>
      </c>
      <c r="G8" s="45">
        <f t="shared" si="2"/>
        <v>2.6727894736842099</v>
      </c>
      <c r="H8" s="45">
        <f t="shared" si="3"/>
        <v>3.7141052631578946</v>
      </c>
      <c r="I8" s="45">
        <f t="shared" si="4"/>
        <v>2.4316842105263152</v>
      </c>
      <c r="J8" s="45">
        <f t="shared" si="5"/>
        <v>2.975473684210526</v>
      </c>
      <c r="K8" s="45">
        <f t="shared" si="6"/>
        <v>2.1905789473684205</v>
      </c>
      <c r="L8" s="45">
        <f t="shared" si="7"/>
        <v>2.236842105263158</v>
      </c>
      <c r="M8" s="45">
        <f t="shared" si="8"/>
        <v>1.9494736842105262</v>
      </c>
      <c r="N8" s="45">
        <v>1.252</v>
      </c>
      <c r="O8" s="45">
        <v>1.6279999999999999</v>
      </c>
    </row>
    <row r="9" spans="1:15" x14ac:dyDescent="0.25">
      <c r="A9" s="22" t="s">
        <v>4</v>
      </c>
      <c r="B9" s="54">
        <v>1.5598256050649999</v>
      </c>
      <c r="C9" s="54">
        <v>1.0600872656535001</v>
      </c>
      <c r="D9" s="54">
        <f t="shared" si="0"/>
        <v>1.4017280572721051</v>
      </c>
      <c r="E9" s="54">
        <f t="shared" si="9"/>
        <v>1.0230475173836684</v>
      </c>
      <c r="F9" s="54">
        <f t="shared" si="1"/>
        <v>1.2436305094792104</v>
      </c>
      <c r="G9" s="54">
        <f t="shared" si="2"/>
        <v>0.98600776911383692</v>
      </c>
      <c r="H9" s="54">
        <f t="shared" si="3"/>
        <v>1.0855329616863156</v>
      </c>
      <c r="I9" s="54">
        <f t="shared" si="4"/>
        <v>0.94896802084400522</v>
      </c>
      <c r="J9" s="54">
        <f t="shared" si="5"/>
        <v>0.9274354138934211</v>
      </c>
      <c r="K9" s="54">
        <f t="shared" si="6"/>
        <v>0.91192827257417364</v>
      </c>
      <c r="L9" s="54">
        <f t="shared" si="7"/>
        <v>0.76933786610052635</v>
      </c>
      <c r="M9" s="54">
        <f t="shared" si="8"/>
        <v>0.87488852430434205</v>
      </c>
      <c r="N9" s="54">
        <v>0.55854113571000008</v>
      </c>
      <c r="O9" s="54">
        <v>0.82550219327789998</v>
      </c>
    </row>
    <row r="10" spans="1:15" x14ac:dyDescent="0.25">
      <c r="A10" t="s">
        <v>42</v>
      </c>
      <c r="B10" s="45">
        <f>SUM(B3:B9)</f>
        <v>10.715749107076508</v>
      </c>
      <c r="C10" s="45">
        <f t="shared" ref="C10:O10" si="10">SUM(C3:C9)</f>
        <v>13.179920829045287</v>
      </c>
      <c r="D10" s="45">
        <f t="shared" si="10"/>
        <v>9.8247100483509122</v>
      </c>
      <c r="E10" s="45">
        <f t="shared" si="10"/>
        <v>12.729361678961201</v>
      </c>
      <c r="F10" s="45">
        <f t="shared" si="10"/>
        <v>8.9336709896253161</v>
      </c>
      <c r="G10" s="45">
        <f t="shared" si="10"/>
        <v>12.278802528877115</v>
      </c>
      <c r="H10" s="45">
        <f t="shared" si="10"/>
        <v>8.0426319308997218</v>
      </c>
      <c r="I10" s="45">
        <f t="shared" si="10"/>
        <v>11.828243378793026</v>
      </c>
      <c r="J10" s="45">
        <f t="shared" si="10"/>
        <v>7.1515928721741258</v>
      </c>
      <c r="K10" s="45">
        <f t="shared" si="10"/>
        <v>11.377684228708942</v>
      </c>
      <c r="L10" s="45">
        <f t="shared" si="10"/>
        <v>6.2605538134485315</v>
      </c>
      <c r="M10" s="45">
        <f t="shared" si="10"/>
        <v>10.927125078624856</v>
      </c>
      <c r="N10" s="45">
        <f t="shared" si="10"/>
        <v>5.0725017351477373</v>
      </c>
      <c r="O10" s="45">
        <f t="shared" si="10"/>
        <v>10.326379545179407</v>
      </c>
    </row>
    <row r="11" spans="1:15" x14ac:dyDescent="0.25">
      <c r="A11" t="s">
        <v>82</v>
      </c>
      <c r="B11" s="45">
        <f>$B$10-B10</f>
        <v>0</v>
      </c>
      <c r="C11" s="45">
        <f>$C$10-C10</f>
        <v>0</v>
      </c>
      <c r="D11" s="45">
        <f>$B$10-D10</f>
        <v>0.89103905872559608</v>
      </c>
      <c r="E11" s="45">
        <f>$C$10-E10</f>
        <v>0.45055915008408576</v>
      </c>
      <c r="F11" s="45">
        <f>$B$10-F10</f>
        <v>1.7820781174511922</v>
      </c>
      <c r="G11" s="45">
        <f>$C$10-G10</f>
        <v>0.90111830016817152</v>
      </c>
      <c r="H11" s="45">
        <f>$B$10-H10</f>
        <v>2.6731171761767865</v>
      </c>
      <c r="I11" s="45">
        <f>$C$10-I10</f>
        <v>1.3516774502522608</v>
      </c>
      <c r="J11" s="45">
        <f>$B$10-J10</f>
        <v>3.5641562349023825</v>
      </c>
      <c r="K11" s="45">
        <f>$C$10-K10</f>
        <v>1.8022366003363448</v>
      </c>
      <c r="L11" s="45">
        <f>$B$10-L10</f>
        <v>4.4551952936279768</v>
      </c>
      <c r="M11" s="45">
        <f>$C$10-M10</f>
        <v>2.2527957504204306</v>
      </c>
      <c r="N11" s="45">
        <f>$B$10-N10</f>
        <v>5.643247371928771</v>
      </c>
      <c r="O11" s="45">
        <f>$C$10-O10</f>
        <v>2.85354128386588</v>
      </c>
    </row>
    <row r="14" spans="1:15" x14ac:dyDescent="0.25">
      <c r="A14" s="36"/>
    </row>
    <row r="18" spans="2:2" x14ac:dyDescent="0.25">
      <c r="B18" s="14"/>
    </row>
    <row r="19" spans="2:2" x14ac:dyDescent="0.25">
      <c r="B19" s="14"/>
    </row>
  </sheetData>
  <mergeCells count="7">
    <mergeCell ref="B1:C1"/>
    <mergeCell ref="N1:O1"/>
    <mergeCell ref="L1:M1"/>
    <mergeCell ref="J1:K1"/>
    <mergeCell ref="H1:I1"/>
    <mergeCell ref="F1:G1"/>
    <mergeCell ref="D1:E1"/>
  </mergeCells>
  <pageMargins left="0.7" right="0.7" top="0.75" bottom="0.75" header="0.3" footer="0.3"/>
  <ignoredErrors>
    <ignoredError sqref="E3 G3:G4 I3:I4 K3:K4 E8:E9 G8:G9 I8:I9 K8:K9 E5 G5 I5 K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4FE44-E338-4B5F-9F1B-E593C1526008}">
  <sheetPr codeName="Sheet2"/>
  <dimension ref="A1:L18"/>
  <sheetViews>
    <sheetView workbookViewId="0">
      <selection activeCell="A18" sqref="A18"/>
    </sheetView>
  </sheetViews>
  <sheetFormatPr defaultRowHeight="15" x14ac:dyDescent="0.25"/>
  <cols>
    <col min="2" max="2" width="39.42578125" customWidth="1"/>
    <col min="3" max="3" width="18.42578125" customWidth="1"/>
    <col min="5" max="5" width="10.7109375" customWidth="1"/>
    <col min="6" max="6" width="11.140625" customWidth="1"/>
    <col min="12" max="12" width="25.28515625" bestFit="1" customWidth="1"/>
  </cols>
  <sheetData>
    <row r="1" spans="1:12" ht="46.5" x14ac:dyDescent="0.25">
      <c r="A1" s="7" t="s">
        <v>7</v>
      </c>
      <c r="B1" s="1" t="s">
        <v>8</v>
      </c>
      <c r="C1" s="2" t="s">
        <v>14</v>
      </c>
      <c r="D1" s="2" t="s">
        <v>9</v>
      </c>
      <c r="E1" s="3" t="s">
        <v>10</v>
      </c>
      <c r="F1" s="4" t="s">
        <v>11</v>
      </c>
      <c r="G1" s="21">
        <v>2020</v>
      </c>
      <c r="H1" s="21">
        <v>2023</v>
      </c>
      <c r="I1" s="21">
        <v>2026</v>
      </c>
      <c r="J1" s="21">
        <v>2029</v>
      </c>
      <c r="K1" s="21">
        <v>2032</v>
      </c>
      <c r="L1" s="13" t="s">
        <v>18</v>
      </c>
    </row>
    <row r="2" spans="1:12" x14ac:dyDescent="0.25">
      <c r="A2" s="59">
        <v>1063</v>
      </c>
      <c r="B2" s="61" t="s">
        <v>12</v>
      </c>
      <c r="C2" s="61" t="s">
        <v>15</v>
      </c>
      <c r="D2" s="5" t="s">
        <v>1</v>
      </c>
      <c r="E2" s="56">
        <v>1.5301667079372918E-2</v>
      </c>
      <c r="F2" s="56">
        <v>1.5301667079372918E-2</v>
      </c>
      <c r="G2" s="20">
        <f>$E2*((2036-G$1)/(2036-2017))+$F2*((G$1-2017)/(2036-2017))</f>
        <v>1.5301667079372918E-2</v>
      </c>
      <c r="H2" s="20">
        <f t="shared" ref="H2:K11" si="0">$E2*((2036-H$1)/(2036-2017))+$F2*((H$1-2017)/(2036-2017))</f>
        <v>1.5301667079372918E-2</v>
      </c>
      <c r="I2" s="20">
        <f t="shared" si="0"/>
        <v>1.5301667079372918E-2</v>
      </c>
      <c r="J2" s="20">
        <f t="shared" si="0"/>
        <v>1.5301667079372916E-2</v>
      </c>
      <c r="K2" s="20">
        <f t="shared" si="0"/>
        <v>1.5301667079372918E-2</v>
      </c>
      <c r="L2" s="63" t="s">
        <v>86</v>
      </c>
    </row>
    <row r="3" spans="1:12" x14ac:dyDescent="0.25">
      <c r="A3" s="60"/>
      <c r="B3" s="62"/>
      <c r="C3" s="62"/>
      <c r="D3" s="6" t="s">
        <v>2</v>
      </c>
      <c r="E3" s="56">
        <v>0.27403894678513313</v>
      </c>
      <c r="F3" s="56">
        <v>0.27403894678513313</v>
      </c>
      <c r="G3" s="20">
        <f t="shared" ref="G3:G11" si="1">$E3*((2036-G$1)/(2036-2017))+$F3*((G$1-2017)/(2036-2017))</f>
        <v>0.27403894678513308</v>
      </c>
      <c r="H3" s="20">
        <f t="shared" si="0"/>
        <v>0.27403894678513313</v>
      </c>
      <c r="I3" s="20">
        <f t="shared" si="0"/>
        <v>0.27403894678513313</v>
      </c>
      <c r="J3" s="20">
        <f t="shared" si="0"/>
        <v>0.27403894678513313</v>
      </c>
      <c r="K3" s="20">
        <f t="shared" si="0"/>
        <v>0.27403894678513313</v>
      </c>
      <c r="L3" s="64"/>
    </row>
    <row r="4" spans="1:12" x14ac:dyDescent="0.25">
      <c r="A4" s="59">
        <v>1525</v>
      </c>
      <c r="B4" s="61" t="s">
        <v>85</v>
      </c>
      <c r="C4" s="61" t="s">
        <v>15</v>
      </c>
      <c r="D4" s="5" t="s">
        <v>1</v>
      </c>
      <c r="E4" s="56">
        <v>3.7013123398768354E-2</v>
      </c>
      <c r="F4" s="56">
        <v>3.7013123398768354E-2</v>
      </c>
      <c r="G4" s="20">
        <f t="shared" si="1"/>
        <v>3.7013123398768354E-2</v>
      </c>
      <c r="H4" s="20">
        <f t="shared" si="0"/>
        <v>3.7013123398768354E-2</v>
      </c>
      <c r="I4" s="20">
        <f t="shared" si="0"/>
        <v>3.7013123398768347E-2</v>
      </c>
      <c r="J4" s="20">
        <f t="shared" si="0"/>
        <v>3.7013123398768354E-2</v>
      </c>
      <c r="K4" s="20">
        <f t="shared" si="0"/>
        <v>3.7013123398768354E-2</v>
      </c>
      <c r="L4" s="63" t="s">
        <v>86</v>
      </c>
    </row>
    <row r="5" spans="1:12" x14ac:dyDescent="0.25">
      <c r="A5" s="60"/>
      <c r="B5" s="62"/>
      <c r="C5" s="62"/>
      <c r="D5" s="6" t="s">
        <v>2</v>
      </c>
      <c r="E5" s="56">
        <v>1.1537620632040543E-2</v>
      </c>
      <c r="F5" s="56">
        <v>1.1537620632040543E-2</v>
      </c>
      <c r="G5" s="20">
        <f t="shared" si="1"/>
        <v>1.1537620632040543E-2</v>
      </c>
      <c r="H5" s="20">
        <f t="shared" si="0"/>
        <v>1.1537620632040543E-2</v>
      </c>
      <c r="I5" s="20">
        <f t="shared" si="0"/>
        <v>1.1537620632040543E-2</v>
      </c>
      <c r="J5" s="20">
        <f t="shared" si="0"/>
        <v>1.1537620632040543E-2</v>
      </c>
      <c r="K5" s="20">
        <f t="shared" si="0"/>
        <v>1.1537620632040543E-2</v>
      </c>
      <c r="L5" s="64"/>
    </row>
    <row r="6" spans="1:12" x14ac:dyDescent="0.25">
      <c r="A6" s="59">
        <v>50219</v>
      </c>
      <c r="B6" s="61" t="s">
        <v>13</v>
      </c>
      <c r="C6" s="61" t="s">
        <v>15</v>
      </c>
      <c r="D6" s="5" t="s">
        <v>1</v>
      </c>
      <c r="E6" s="56">
        <v>1.9092989225599004E-4</v>
      </c>
      <c r="F6" s="56">
        <v>1.9092989225599004E-4</v>
      </c>
      <c r="G6" s="20">
        <f t="shared" si="1"/>
        <v>1.9092989225599004E-4</v>
      </c>
      <c r="H6" s="20">
        <f t="shared" si="0"/>
        <v>1.9092989225599004E-4</v>
      </c>
      <c r="I6" s="20">
        <f t="shared" si="0"/>
        <v>1.9092989225599001E-4</v>
      </c>
      <c r="J6" s="20">
        <f t="shared" si="0"/>
        <v>1.9092989225599001E-4</v>
      </c>
      <c r="K6" s="20">
        <f t="shared" si="0"/>
        <v>1.9092989225599004E-4</v>
      </c>
      <c r="L6" s="63" t="s">
        <v>86</v>
      </c>
    </row>
    <row r="7" spans="1:12" x14ac:dyDescent="0.25">
      <c r="A7" s="60"/>
      <c r="B7" s="62"/>
      <c r="C7" s="62"/>
      <c r="D7" s="6" t="s">
        <v>2</v>
      </c>
      <c r="E7" s="56">
        <v>0.10149287558350557</v>
      </c>
      <c r="F7" s="56">
        <v>0.10149287558350557</v>
      </c>
      <c r="G7" s="20">
        <f t="shared" si="1"/>
        <v>0.10149287558350557</v>
      </c>
      <c r="H7" s="20">
        <f t="shared" si="0"/>
        <v>0.10149287558350557</v>
      </c>
      <c r="I7" s="20">
        <f t="shared" si="0"/>
        <v>0.10149287558350556</v>
      </c>
      <c r="J7" s="20">
        <f t="shared" si="0"/>
        <v>0.10149287558350557</v>
      </c>
      <c r="K7" s="20">
        <f t="shared" si="0"/>
        <v>0.10149287558350557</v>
      </c>
      <c r="L7" s="64"/>
    </row>
    <row r="8" spans="1:12" x14ac:dyDescent="0.25">
      <c r="A8" s="65">
        <v>12199</v>
      </c>
      <c r="B8" s="66" t="s">
        <v>16</v>
      </c>
      <c r="C8" s="66" t="s">
        <v>17</v>
      </c>
      <c r="D8" s="8" t="s">
        <v>1</v>
      </c>
      <c r="E8" s="57">
        <v>0.629</v>
      </c>
      <c r="F8" s="57">
        <v>0.64795631573169377</v>
      </c>
      <c r="G8" s="20">
        <f t="shared" si="1"/>
        <v>0.63199310248395157</v>
      </c>
      <c r="H8" s="20">
        <f t="shared" si="0"/>
        <v>0.63498620496790326</v>
      </c>
      <c r="I8" s="20">
        <f t="shared" si="0"/>
        <v>0.63797930745185494</v>
      </c>
      <c r="J8" s="20">
        <f t="shared" si="0"/>
        <v>0.64097240993580662</v>
      </c>
      <c r="K8" s="20">
        <f t="shared" si="0"/>
        <v>0.6439655124197583</v>
      </c>
      <c r="L8" s="63" t="s">
        <v>83</v>
      </c>
    </row>
    <row r="9" spans="1:12" x14ac:dyDescent="0.25">
      <c r="A9" s="60"/>
      <c r="B9" s="62"/>
      <c r="C9" s="62"/>
      <c r="D9" s="6" t="s">
        <v>2</v>
      </c>
      <c r="E9" s="56">
        <v>6.6000000000000003E-2</v>
      </c>
      <c r="F9" s="56">
        <v>6.798905697661653E-2</v>
      </c>
      <c r="G9" s="20">
        <f t="shared" si="1"/>
        <v>6.6314061627886819E-2</v>
      </c>
      <c r="H9" s="20">
        <f t="shared" si="0"/>
        <v>6.6628123255773636E-2</v>
      </c>
      <c r="I9" s="20">
        <f t="shared" si="0"/>
        <v>6.6942184883660466E-2</v>
      </c>
      <c r="J9" s="20">
        <f t="shared" si="0"/>
        <v>6.7256246511547282E-2</v>
      </c>
      <c r="K9" s="20">
        <f t="shared" si="0"/>
        <v>6.7570308139434099E-2</v>
      </c>
      <c r="L9" s="64"/>
    </row>
    <row r="10" spans="1:12" x14ac:dyDescent="0.25">
      <c r="A10" s="59">
        <v>1079</v>
      </c>
      <c r="B10" s="61" t="s">
        <v>19</v>
      </c>
      <c r="C10" s="61" t="s">
        <v>20</v>
      </c>
      <c r="D10" s="5" t="s">
        <v>1</v>
      </c>
      <c r="E10" s="56">
        <v>0.60499999999999998</v>
      </c>
      <c r="F10" s="56">
        <v>1.008</v>
      </c>
      <c r="G10" s="20">
        <f t="shared" si="1"/>
        <v>0.66863157894736847</v>
      </c>
      <c r="H10" s="20">
        <f t="shared" si="0"/>
        <v>0.73226315789473684</v>
      </c>
      <c r="I10" s="20">
        <f t="shared" si="0"/>
        <v>0.79589473684210521</v>
      </c>
      <c r="J10" s="20">
        <f t="shared" si="0"/>
        <v>0.85952631578947369</v>
      </c>
      <c r="K10" s="20">
        <f t="shared" si="0"/>
        <v>0.92315789473684207</v>
      </c>
      <c r="L10" s="63" t="s">
        <v>22</v>
      </c>
    </row>
    <row r="11" spans="1:12" x14ac:dyDescent="0.25">
      <c r="A11" s="60"/>
      <c r="B11" s="62"/>
      <c r="C11" s="62"/>
      <c r="D11" s="6" t="s">
        <v>2</v>
      </c>
      <c r="E11" s="56">
        <v>1.7999999999999999E-2</v>
      </c>
      <c r="F11" s="56">
        <v>0.03</v>
      </c>
      <c r="G11" s="20">
        <f t="shared" si="1"/>
        <v>1.989473684210526E-2</v>
      </c>
      <c r="H11" s="20">
        <f t="shared" si="0"/>
        <v>2.1789473684210525E-2</v>
      </c>
      <c r="I11" s="20">
        <f t="shared" si="0"/>
        <v>2.3684210526315787E-2</v>
      </c>
      <c r="J11" s="20">
        <f t="shared" si="0"/>
        <v>2.5578947368421048E-2</v>
      </c>
      <c r="K11" s="20">
        <f t="shared" si="0"/>
        <v>2.7473684210526317E-2</v>
      </c>
      <c r="L11" s="64"/>
    </row>
    <row r="12" spans="1:12" x14ac:dyDescent="0.25">
      <c r="A12" s="10"/>
      <c r="B12" s="11"/>
      <c r="C12" s="16" t="s">
        <v>23</v>
      </c>
      <c r="D12" s="17" t="s">
        <v>1</v>
      </c>
      <c r="E12" s="46">
        <f>SUMIF($D$2:$D$11,D12,$E$2:$E$11)</f>
        <v>1.2865057203703971</v>
      </c>
      <c r="F12" s="47">
        <f>SUMIF($D$2:$D$11,$D12,F$2:F$11)</f>
        <v>1.708462036102091</v>
      </c>
      <c r="G12" s="47">
        <f t="shared" ref="G12:K13" si="2">SUMIF($D$2:$D$11,$D12,G$2:G$11)</f>
        <v>1.3531304018017174</v>
      </c>
      <c r="H12" s="48">
        <f t="shared" si="2"/>
        <v>1.4197550832330372</v>
      </c>
      <c r="I12" s="47">
        <f t="shared" si="2"/>
        <v>1.4863797646643575</v>
      </c>
      <c r="J12" s="49">
        <f t="shared" si="2"/>
        <v>1.5530044460956776</v>
      </c>
      <c r="K12" s="47">
        <f t="shared" si="2"/>
        <v>1.6196291275269976</v>
      </c>
      <c r="L12" s="15"/>
    </row>
    <row r="13" spans="1:12" x14ac:dyDescent="0.25">
      <c r="B13" s="12"/>
      <c r="C13" s="18" t="s">
        <v>23</v>
      </c>
      <c r="D13" s="19" t="s">
        <v>2</v>
      </c>
      <c r="E13" s="50">
        <f>SUMIF($D$2:$D$11,D13,$E$2:$E$11)</f>
        <v>0.47106944300067927</v>
      </c>
      <c r="F13" s="51">
        <f>SUMIF($D$2:$D$11,D13,$F$2:$F$11)</f>
        <v>0.48505849997729578</v>
      </c>
      <c r="G13" s="51">
        <f t="shared" si="2"/>
        <v>0.47327824147067127</v>
      </c>
      <c r="H13" s="51">
        <f t="shared" si="2"/>
        <v>0.47548703994066338</v>
      </c>
      <c r="I13" s="51">
        <f t="shared" si="2"/>
        <v>0.47769583841065549</v>
      </c>
      <c r="J13" s="51">
        <f t="shared" si="2"/>
        <v>0.47990463688064755</v>
      </c>
      <c r="K13" s="51">
        <f t="shared" si="2"/>
        <v>0.48211343535063966</v>
      </c>
    </row>
    <row r="16" spans="1:12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87</v>
      </c>
    </row>
  </sheetData>
  <mergeCells count="20">
    <mergeCell ref="L2:L3"/>
    <mergeCell ref="L4:L5"/>
    <mergeCell ref="L6:L7"/>
    <mergeCell ref="L8:L9"/>
    <mergeCell ref="A6:A7"/>
    <mergeCell ref="B6:B7"/>
    <mergeCell ref="C6:C7"/>
    <mergeCell ref="C2:C3"/>
    <mergeCell ref="C4:C5"/>
    <mergeCell ref="A2:A3"/>
    <mergeCell ref="B2:B3"/>
    <mergeCell ref="A4:A5"/>
    <mergeCell ref="B4:B5"/>
    <mergeCell ref="A10:A11"/>
    <mergeCell ref="B10:B11"/>
    <mergeCell ref="C10:C11"/>
    <mergeCell ref="L10:L11"/>
    <mergeCell ref="A8:A9"/>
    <mergeCell ref="B8:B9"/>
    <mergeCell ref="C8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651F4-0433-4727-8DB7-B52FF2DCA827}">
  <sheetPr codeName="Sheet3"/>
  <dimension ref="A1:K28"/>
  <sheetViews>
    <sheetView workbookViewId="0">
      <selection activeCell="A29" sqref="A29"/>
    </sheetView>
  </sheetViews>
  <sheetFormatPr defaultRowHeight="15" x14ac:dyDescent="0.25"/>
  <cols>
    <col min="1" max="1" width="12.42578125" bestFit="1" customWidth="1"/>
    <col min="2" max="3" width="14.42578125" customWidth="1"/>
    <col min="4" max="5" width="9.140625" customWidth="1"/>
    <col min="11" max="11" width="27.140625" customWidth="1"/>
  </cols>
  <sheetData>
    <row r="1" spans="1:11" ht="24" customHeight="1" x14ac:dyDescent="0.25">
      <c r="A1" s="34" t="s">
        <v>28</v>
      </c>
      <c r="B1" s="22"/>
      <c r="C1" s="22"/>
      <c r="K1" s="22"/>
    </row>
    <row r="2" spans="1:11" x14ac:dyDescent="0.25">
      <c r="A2" s="23" t="s">
        <v>26</v>
      </c>
      <c r="B2" s="30" t="s">
        <v>27</v>
      </c>
      <c r="C2" s="21" t="s">
        <v>9</v>
      </c>
      <c r="D2" s="35">
        <v>2017</v>
      </c>
      <c r="E2" s="35">
        <v>2036</v>
      </c>
      <c r="F2" s="31">
        <v>2020</v>
      </c>
      <c r="G2" s="31">
        <v>2023</v>
      </c>
      <c r="H2" s="31">
        <v>2026</v>
      </c>
      <c r="I2" s="31">
        <v>2029</v>
      </c>
      <c r="J2" s="31">
        <v>2032</v>
      </c>
      <c r="K2" s="3" t="s">
        <v>18</v>
      </c>
    </row>
    <row r="3" spans="1:11" x14ac:dyDescent="0.25">
      <c r="A3" s="72">
        <v>28033</v>
      </c>
      <c r="B3" s="76" t="s">
        <v>33</v>
      </c>
      <c r="C3" s="27" t="s">
        <v>1</v>
      </c>
      <c r="D3" s="52">
        <v>0.25348420864650029</v>
      </c>
      <c r="E3" s="52">
        <v>7.0764991258064541E-2</v>
      </c>
      <c r="F3" s="52">
        <f>$D3*((2036-F$2)/(2036-2017))+$E3*((F$2-2017)/(2036-2017))</f>
        <v>0.2246338059009578</v>
      </c>
      <c r="G3" s="52">
        <f t="shared" ref="G3:J18" si="0">$D3*((2036-G$2)/(2036-2017))+$E3*((G$2-2017)/(2036-2017))</f>
        <v>0.19578340315541531</v>
      </c>
      <c r="H3" s="52">
        <f t="shared" si="0"/>
        <v>0.16693300040987283</v>
      </c>
      <c r="I3" s="52">
        <f t="shared" si="0"/>
        <v>0.13808259766433034</v>
      </c>
      <c r="J3" s="52">
        <f t="shared" si="0"/>
        <v>0.10923219491878786</v>
      </c>
      <c r="K3" s="67" t="s">
        <v>21</v>
      </c>
    </row>
    <row r="4" spans="1:11" x14ac:dyDescent="0.25">
      <c r="A4" s="73"/>
      <c r="B4" s="77"/>
      <c r="C4" s="28" t="s">
        <v>2</v>
      </c>
      <c r="D4" s="52">
        <v>1.6003722704463725E-2</v>
      </c>
      <c r="E4" s="52">
        <v>3.5873940924731171E-3</v>
      </c>
      <c r="F4" s="52">
        <f t="shared" ref="F4:F18" si="1">$D4*((2036-F$2)/(2036-2017))+$E4*((F$2-2017)/(2036-2017))</f>
        <v>1.4043249765728365E-2</v>
      </c>
      <c r="G4" s="52">
        <f t="shared" si="0"/>
        <v>1.2082776826993007E-2</v>
      </c>
      <c r="H4" s="52">
        <f t="shared" si="0"/>
        <v>1.0122303888257647E-2</v>
      </c>
      <c r="I4" s="52">
        <f t="shared" si="0"/>
        <v>8.161830949522289E-3</v>
      </c>
      <c r="J4" s="52">
        <f t="shared" si="0"/>
        <v>6.2013580107869292E-3</v>
      </c>
      <c r="K4" s="68"/>
    </row>
    <row r="5" spans="1:11" x14ac:dyDescent="0.25">
      <c r="A5" s="24">
        <v>28033</v>
      </c>
      <c r="B5" s="26" t="s">
        <v>29</v>
      </c>
      <c r="C5" s="26" t="s">
        <v>2</v>
      </c>
      <c r="D5" s="52">
        <v>2.7314449542045479E-2</v>
      </c>
      <c r="E5" s="52">
        <v>2.9510511690322584E-2</v>
      </c>
      <c r="F5" s="52">
        <f t="shared" si="1"/>
        <v>2.7661196197036598E-2</v>
      </c>
      <c r="G5" s="52">
        <f t="shared" si="0"/>
        <v>2.800794285202772E-2</v>
      </c>
      <c r="H5" s="52">
        <f t="shared" si="0"/>
        <v>2.8354689507018842E-2</v>
      </c>
      <c r="I5" s="52">
        <f t="shared" si="0"/>
        <v>2.8701436162009965E-2</v>
      </c>
      <c r="J5" s="52">
        <f t="shared" si="0"/>
        <v>2.9048182817001087E-2</v>
      </c>
      <c r="K5" s="25" t="s">
        <v>21</v>
      </c>
    </row>
    <row r="6" spans="1:11" x14ac:dyDescent="0.25">
      <c r="A6" s="72">
        <v>28033</v>
      </c>
      <c r="B6" s="74" t="s">
        <v>30</v>
      </c>
      <c r="C6" s="27" t="s">
        <v>1</v>
      </c>
      <c r="D6" s="52">
        <v>1.116298506627589</v>
      </c>
      <c r="E6" s="52">
        <v>1.1152984444946239</v>
      </c>
      <c r="F6" s="52">
        <f t="shared" si="1"/>
        <v>1.1161406020802787</v>
      </c>
      <c r="G6" s="52">
        <f t="shared" si="0"/>
        <v>1.1159826975329685</v>
      </c>
      <c r="H6" s="52">
        <f t="shared" si="0"/>
        <v>1.115824792985658</v>
      </c>
      <c r="I6" s="52">
        <f t="shared" si="0"/>
        <v>1.1156668884383478</v>
      </c>
      <c r="J6" s="52">
        <f t="shared" si="0"/>
        <v>1.1155089838910377</v>
      </c>
      <c r="K6" s="67" t="s">
        <v>21</v>
      </c>
    </row>
    <row r="7" spans="1:11" x14ac:dyDescent="0.25">
      <c r="A7" s="73"/>
      <c r="B7" s="75"/>
      <c r="C7" s="28" t="s">
        <v>2</v>
      </c>
      <c r="D7" s="52">
        <v>2.2839316542465133</v>
      </c>
      <c r="E7" s="52">
        <v>1.8044669434408596</v>
      </c>
      <c r="F7" s="52">
        <f t="shared" si="1"/>
        <v>2.2082266999087783</v>
      </c>
      <c r="G7" s="52">
        <f t="shared" si="0"/>
        <v>2.1325217455710437</v>
      </c>
      <c r="H7" s="52">
        <f t="shared" si="0"/>
        <v>2.0568167912333086</v>
      </c>
      <c r="I7" s="52">
        <f t="shared" si="0"/>
        <v>1.981111836895574</v>
      </c>
      <c r="J7" s="52">
        <f t="shared" si="0"/>
        <v>1.9054068825578392</v>
      </c>
      <c r="K7" s="68"/>
    </row>
    <row r="8" spans="1:11" ht="16.5" x14ac:dyDescent="0.25">
      <c r="A8" s="24">
        <v>28033</v>
      </c>
      <c r="B8" s="29" t="s">
        <v>31</v>
      </c>
      <c r="C8" s="26" t="s">
        <v>2</v>
      </c>
      <c r="D8" s="52">
        <v>5.0792659319811468</v>
      </c>
      <c r="E8" s="52">
        <v>5.0792659319811468</v>
      </c>
      <c r="F8" s="52">
        <f t="shared" si="1"/>
        <v>5.0792659319811468</v>
      </c>
      <c r="G8" s="52">
        <f t="shared" si="0"/>
        <v>5.0792659319811468</v>
      </c>
      <c r="H8" s="52">
        <f t="shared" si="0"/>
        <v>5.079265931981146</v>
      </c>
      <c r="I8" s="52">
        <f t="shared" si="0"/>
        <v>5.0792659319811468</v>
      </c>
      <c r="J8" s="52">
        <f t="shared" si="0"/>
        <v>5.0792659319811477</v>
      </c>
      <c r="K8" s="25" t="s">
        <v>90</v>
      </c>
    </row>
    <row r="9" spans="1:11" x14ac:dyDescent="0.25">
      <c r="A9" s="72">
        <v>28033</v>
      </c>
      <c r="B9" s="74" t="s">
        <v>32</v>
      </c>
      <c r="C9" s="27" t="s">
        <v>1</v>
      </c>
      <c r="D9" s="52">
        <v>6.7715053763440849E-3</v>
      </c>
      <c r="E9" s="52">
        <v>6.7715053763440849E-3</v>
      </c>
      <c r="F9" s="52">
        <f t="shared" si="1"/>
        <v>6.7715053763440841E-3</v>
      </c>
      <c r="G9" s="52">
        <f t="shared" si="0"/>
        <v>6.7715053763440849E-3</v>
      </c>
      <c r="H9" s="52">
        <f t="shared" si="0"/>
        <v>6.7715053763440849E-3</v>
      </c>
      <c r="I9" s="52">
        <f t="shared" si="0"/>
        <v>6.7715053763440849E-3</v>
      </c>
      <c r="J9" s="52">
        <f t="shared" si="0"/>
        <v>6.7715053763440849E-3</v>
      </c>
      <c r="K9" s="67" t="s">
        <v>21</v>
      </c>
    </row>
    <row r="10" spans="1:11" x14ac:dyDescent="0.25">
      <c r="A10" s="73"/>
      <c r="B10" s="75"/>
      <c r="C10" s="28" t="s">
        <v>2</v>
      </c>
      <c r="D10" s="52">
        <v>2.2499999999999996E-2</v>
      </c>
      <c r="E10" s="52">
        <v>2.2499999999999996E-2</v>
      </c>
      <c r="F10" s="52">
        <f t="shared" si="1"/>
        <v>2.2499999999999992E-2</v>
      </c>
      <c r="G10" s="52">
        <f t="shared" si="0"/>
        <v>2.2499999999999996E-2</v>
      </c>
      <c r="H10" s="52">
        <f t="shared" si="0"/>
        <v>2.2499999999999992E-2</v>
      </c>
      <c r="I10" s="52">
        <f t="shared" si="0"/>
        <v>2.2499999999999992E-2</v>
      </c>
      <c r="J10" s="52">
        <f t="shared" si="0"/>
        <v>2.2499999999999996E-2</v>
      </c>
      <c r="K10" s="68"/>
    </row>
    <row r="11" spans="1:11" x14ac:dyDescent="0.25">
      <c r="A11" s="72">
        <v>28033</v>
      </c>
      <c r="B11" s="74" t="s">
        <v>40</v>
      </c>
      <c r="C11" s="27" t="s">
        <v>1</v>
      </c>
      <c r="D11" s="52">
        <v>8.9708510098270008E-2</v>
      </c>
      <c r="E11" s="52">
        <v>3.0847426467741936E-2</v>
      </c>
      <c r="F11" s="52">
        <f>$D11*((2036-F$2)/(2036-2017))+$E11*((F$2-2017)/(2036-2017))</f>
        <v>8.0414654788186615E-2</v>
      </c>
      <c r="G11" s="52">
        <f t="shared" si="0"/>
        <v>7.112079947810325E-2</v>
      </c>
      <c r="H11" s="52">
        <f t="shared" si="0"/>
        <v>6.1826944168019864E-2</v>
      </c>
      <c r="I11" s="52">
        <f t="shared" si="0"/>
        <v>5.2533088857936484E-2</v>
      </c>
      <c r="J11" s="52">
        <f t="shared" si="0"/>
        <v>4.3239233547853112E-2</v>
      </c>
      <c r="K11" s="67" t="s">
        <v>21</v>
      </c>
    </row>
    <row r="12" spans="1:11" x14ac:dyDescent="0.25">
      <c r="A12" s="73"/>
      <c r="B12" s="75"/>
      <c r="C12" s="28" t="s">
        <v>2</v>
      </c>
      <c r="D12" s="52">
        <v>0.88771240153748598</v>
      </c>
      <c r="E12" s="52">
        <v>0.2490851085419355</v>
      </c>
      <c r="F12" s="52">
        <f>$D12*((2036-F$2)/(2036-2017))+$E12*((F$2-2017)/(2036-2017))</f>
        <v>0.78687651316976748</v>
      </c>
      <c r="G12" s="52">
        <f t="shared" si="0"/>
        <v>0.68604062480204897</v>
      </c>
      <c r="H12" s="52">
        <f t="shared" si="0"/>
        <v>0.58520473643433046</v>
      </c>
      <c r="I12" s="52">
        <f t="shared" si="0"/>
        <v>0.48436884806661196</v>
      </c>
      <c r="J12" s="52">
        <f t="shared" si="0"/>
        <v>0.38353295969889345</v>
      </c>
      <c r="K12" s="68"/>
    </row>
    <row r="13" spans="1:11" x14ac:dyDescent="0.25">
      <c r="A13" s="72">
        <v>28033</v>
      </c>
      <c r="B13" s="74" t="s">
        <v>41</v>
      </c>
      <c r="C13" s="27" t="s">
        <v>1</v>
      </c>
      <c r="D13" s="52">
        <v>1.5315419838709675E-4</v>
      </c>
      <c r="E13" s="52">
        <v>1.5315419838709675E-4</v>
      </c>
      <c r="F13" s="52">
        <f>$D13*((2036-F$2)/(2036-2017))+$E13*((F$2-2017)/(2036-2017))</f>
        <v>1.5315419838709675E-4</v>
      </c>
      <c r="G13" s="52">
        <f t="shared" si="0"/>
        <v>1.5315419838709675E-4</v>
      </c>
      <c r="H13" s="52">
        <f t="shared" si="0"/>
        <v>1.5315419838709675E-4</v>
      </c>
      <c r="I13" s="52">
        <f t="shared" si="0"/>
        <v>1.5315419838709675E-4</v>
      </c>
      <c r="J13" s="52">
        <f t="shared" si="0"/>
        <v>1.5315419838709675E-4</v>
      </c>
      <c r="K13" s="67" t="s">
        <v>21</v>
      </c>
    </row>
    <row r="14" spans="1:11" x14ac:dyDescent="0.25">
      <c r="A14" s="73"/>
      <c r="B14" s="75"/>
      <c r="C14" s="28" t="s">
        <v>2</v>
      </c>
      <c r="D14" s="52">
        <v>1.4539837607526883E-3</v>
      </c>
      <c r="E14" s="52">
        <v>1.4539837607526883E-3</v>
      </c>
      <c r="F14" s="52">
        <f>$D14*((2036-F$2)/(2036-2017))+$E14*((F$2-2017)/(2036-2017))</f>
        <v>1.4539837607526881E-3</v>
      </c>
      <c r="G14" s="52">
        <f t="shared" si="0"/>
        <v>1.4539837607526885E-3</v>
      </c>
      <c r="H14" s="52">
        <f t="shared" si="0"/>
        <v>1.4539837607526881E-3</v>
      </c>
      <c r="I14" s="52">
        <f t="shared" si="0"/>
        <v>1.4539837607526883E-3</v>
      </c>
      <c r="J14" s="52">
        <f t="shared" si="0"/>
        <v>1.4539837607526881E-3</v>
      </c>
      <c r="K14" s="68"/>
    </row>
    <row r="15" spans="1:11" x14ac:dyDescent="0.25">
      <c r="A15" s="72">
        <v>28033</v>
      </c>
      <c r="B15" s="76" t="s">
        <v>34</v>
      </c>
      <c r="C15" s="27" t="s">
        <v>1</v>
      </c>
      <c r="D15" s="52">
        <v>0.43970117641310646</v>
      </c>
      <c r="E15" s="52">
        <v>0.28060585658064502</v>
      </c>
      <c r="F15" s="52">
        <f t="shared" si="1"/>
        <v>0.41458086275534939</v>
      </c>
      <c r="G15" s="52">
        <f t="shared" si="0"/>
        <v>0.38946054909759231</v>
      </c>
      <c r="H15" s="52">
        <f t="shared" si="0"/>
        <v>0.36434023543983518</v>
      </c>
      <c r="I15" s="52">
        <f t="shared" si="0"/>
        <v>0.33921992178207816</v>
      </c>
      <c r="J15" s="52">
        <f t="shared" si="0"/>
        <v>0.31409960812432114</v>
      </c>
      <c r="K15" s="67" t="s">
        <v>21</v>
      </c>
    </row>
    <row r="16" spans="1:11" x14ac:dyDescent="0.25">
      <c r="A16" s="73"/>
      <c r="B16" s="77"/>
      <c r="C16" s="28" t="s">
        <v>2</v>
      </c>
      <c r="D16" s="52">
        <v>2.0438324234604507E-2</v>
      </c>
      <c r="E16" s="52">
        <v>1.0391081567741937E-2</v>
      </c>
      <c r="F16" s="52">
        <f t="shared" si="1"/>
        <v>1.8851917497731466E-2</v>
      </c>
      <c r="G16" s="52">
        <f t="shared" si="0"/>
        <v>1.7265510760858433E-2</v>
      </c>
      <c r="H16" s="52">
        <f t="shared" si="0"/>
        <v>1.5679104023985393E-2</v>
      </c>
      <c r="I16" s="52">
        <f t="shared" si="0"/>
        <v>1.4092697287112356E-2</v>
      </c>
      <c r="J16" s="52">
        <f t="shared" si="0"/>
        <v>1.2506290550239319E-2</v>
      </c>
      <c r="K16" s="68"/>
    </row>
    <row r="17" spans="1:11" x14ac:dyDescent="0.25">
      <c r="A17" s="78">
        <v>28033</v>
      </c>
      <c r="B17" s="79" t="s">
        <v>35</v>
      </c>
      <c r="C17" s="9" t="s">
        <v>1</v>
      </c>
      <c r="D17" s="52">
        <v>1.7567727312927876E-2</v>
      </c>
      <c r="E17" s="52">
        <v>2.0833546646236569E-2</v>
      </c>
      <c r="F17" s="52">
        <f t="shared" si="1"/>
        <v>1.8083382997134509E-2</v>
      </c>
      <c r="G17" s="52">
        <f t="shared" si="0"/>
        <v>1.8599038681341148E-2</v>
      </c>
      <c r="H17" s="52">
        <f t="shared" si="0"/>
        <v>1.9114694365547781E-2</v>
      </c>
      <c r="I17" s="52">
        <f t="shared" si="0"/>
        <v>1.9630350049754417E-2</v>
      </c>
      <c r="J17" s="52">
        <f t="shared" si="0"/>
        <v>2.0146005733961053E-2</v>
      </c>
      <c r="K17" s="69" t="s">
        <v>21</v>
      </c>
    </row>
    <row r="18" spans="1:11" x14ac:dyDescent="0.25">
      <c r="A18" s="73"/>
      <c r="B18" s="75"/>
      <c r="C18" s="28" t="s">
        <v>2</v>
      </c>
      <c r="D18" s="52">
        <v>0.13739610488860471</v>
      </c>
      <c r="E18" s="52">
        <v>0.15543311488602138</v>
      </c>
      <c r="F18" s="52">
        <f t="shared" si="1"/>
        <v>0.14024405383556524</v>
      </c>
      <c r="G18" s="52">
        <f t="shared" si="0"/>
        <v>0.14309200278252576</v>
      </c>
      <c r="H18" s="52">
        <f t="shared" si="0"/>
        <v>0.14593995172948626</v>
      </c>
      <c r="I18" s="52">
        <f t="shared" si="0"/>
        <v>0.14878790067644682</v>
      </c>
      <c r="J18" s="52">
        <f t="shared" si="0"/>
        <v>0.15163584962340734</v>
      </c>
      <c r="K18" s="68"/>
    </row>
    <row r="19" spans="1:11" x14ac:dyDescent="0.25">
      <c r="A19" s="70" t="s">
        <v>37</v>
      </c>
      <c r="B19" s="70"/>
      <c r="C19" s="32" t="s">
        <v>1</v>
      </c>
      <c r="D19" s="53">
        <f t="shared" ref="D19:J20" si="2">SUMIF($C$3:$C$18,$C19,D$3:D$18)</f>
        <v>1.9236847886731248</v>
      </c>
      <c r="E19" s="53">
        <f t="shared" si="2"/>
        <v>1.5252749250220432</v>
      </c>
      <c r="F19" s="53">
        <f t="shared" si="2"/>
        <v>1.8607779680966381</v>
      </c>
      <c r="G19" s="53">
        <f t="shared" si="2"/>
        <v>1.7978711475201516</v>
      </c>
      <c r="H19" s="53">
        <f t="shared" si="2"/>
        <v>1.7349643269436648</v>
      </c>
      <c r="I19" s="53">
        <f t="shared" si="2"/>
        <v>1.6720575063671783</v>
      </c>
      <c r="J19" s="53">
        <f t="shared" si="2"/>
        <v>1.6091506857906921</v>
      </c>
    </row>
    <row r="20" spans="1:11" x14ac:dyDescent="0.25">
      <c r="A20" s="70"/>
      <c r="B20" s="70"/>
      <c r="C20" s="33" t="s">
        <v>2</v>
      </c>
      <c r="D20" s="53">
        <f t="shared" si="2"/>
        <v>8.4760165728956167</v>
      </c>
      <c r="E20" s="53">
        <f t="shared" si="2"/>
        <v>7.3556940699612534</v>
      </c>
      <c r="F20" s="53">
        <f t="shared" si="2"/>
        <v>8.2991235461165047</v>
      </c>
      <c r="G20" s="53">
        <f t="shared" si="2"/>
        <v>8.122230519337398</v>
      </c>
      <c r="H20" s="53">
        <f t="shared" si="2"/>
        <v>7.945337492558286</v>
      </c>
      <c r="I20" s="53">
        <f t="shared" si="2"/>
        <v>7.7684444657791758</v>
      </c>
      <c r="J20" s="53">
        <f t="shared" si="2"/>
        <v>7.5915514390000673</v>
      </c>
    </row>
    <row r="21" spans="1:11" x14ac:dyDescent="0.25">
      <c r="A21" s="71" t="s">
        <v>38</v>
      </c>
      <c r="B21" s="71"/>
      <c r="C21" s="32" t="s">
        <v>1</v>
      </c>
      <c r="D21" s="53">
        <f>SUMIF($C$3:$C$18,$C21,D$3:D$18)-D3-D15</f>
        <v>1.230499403613518</v>
      </c>
      <c r="E21" s="53">
        <f t="shared" ref="D21:J22" si="3">SUMIF($C$3:$C$18,$C21,E$3:E$18)-E3-E15</f>
        <v>1.1739040771833336</v>
      </c>
      <c r="F21" s="53">
        <f t="shared" si="3"/>
        <v>1.2215632994403309</v>
      </c>
      <c r="G21" s="53">
        <f t="shared" si="3"/>
        <v>1.2126271952671441</v>
      </c>
      <c r="H21" s="53">
        <f t="shared" si="3"/>
        <v>1.2036910910939569</v>
      </c>
      <c r="I21" s="53">
        <f t="shared" si="3"/>
        <v>1.1947549869207699</v>
      </c>
      <c r="J21" s="53">
        <f t="shared" si="3"/>
        <v>1.1858188827475833</v>
      </c>
    </row>
    <row r="22" spans="1:11" x14ac:dyDescent="0.25">
      <c r="A22" s="71"/>
      <c r="B22" s="71"/>
      <c r="C22" s="33" t="s">
        <v>2</v>
      </c>
      <c r="D22" s="53">
        <f t="shared" si="3"/>
        <v>8.4395745259565498</v>
      </c>
      <c r="E22" s="53">
        <f t="shared" si="3"/>
        <v>7.3417155943010384</v>
      </c>
      <c r="F22" s="53">
        <f t="shared" si="3"/>
        <v>8.2662283788530448</v>
      </c>
      <c r="G22" s="53">
        <f t="shared" si="3"/>
        <v>8.092882231749547</v>
      </c>
      <c r="H22" s="53">
        <f t="shared" si="3"/>
        <v>7.919536084646043</v>
      </c>
      <c r="I22" s="53">
        <f t="shared" si="3"/>
        <v>7.7461899375425416</v>
      </c>
      <c r="J22" s="53">
        <f t="shared" si="3"/>
        <v>7.5728437904390411</v>
      </c>
    </row>
    <row r="25" spans="1:11" x14ac:dyDescent="0.25">
      <c r="A25" t="s">
        <v>81</v>
      </c>
    </row>
    <row r="26" spans="1:11" x14ac:dyDescent="0.25">
      <c r="A26" t="s">
        <v>84</v>
      </c>
    </row>
    <row r="27" spans="1:11" x14ac:dyDescent="0.25">
      <c r="A27" t="s">
        <v>36</v>
      </c>
    </row>
    <row r="28" spans="1:11" x14ac:dyDescent="0.25">
      <c r="A28" t="s">
        <v>91</v>
      </c>
    </row>
  </sheetData>
  <mergeCells count="23">
    <mergeCell ref="K9:K10"/>
    <mergeCell ref="A3:A4"/>
    <mergeCell ref="B3:B4"/>
    <mergeCell ref="K3:K4"/>
    <mergeCell ref="B6:B7"/>
    <mergeCell ref="A6:A7"/>
    <mergeCell ref="K6:K7"/>
    <mergeCell ref="K15:K16"/>
    <mergeCell ref="K17:K18"/>
    <mergeCell ref="A19:B20"/>
    <mergeCell ref="A21:B22"/>
    <mergeCell ref="A9:A10"/>
    <mergeCell ref="B9:B10"/>
    <mergeCell ref="A15:A16"/>
    <mergeCell ref="B15:B16"/>
    <mergeCell ref="A17:A18"/>
    <mergeCell ref="B17:B18"/>
    <mergeCell ref="A11:A12"/>
    <mergeCell ref="B11:B12"/>
    <mergeCell ref="K11:K12"/>
    <mergeCell ref="A13:A14"/>
    <mergeCell ref="B13:B14"/>
    <mergeCell ref="K13:K1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6A2C5-3CBC-4497-88CA-954E29B9F7BE}">
  <sheetPr codeName="Sheet7"/>
  <dimension ref="A1:R17"/>
  <sheetViews>
    <sheetView workbookViewId="0">
      <selection activeCell="F16" sqref="F16"/>
    </sheetView>
  </sheetViews>
  <sheetFormatPr defaultRowHeight="15" x14ac:dyDescent="0.25"/>
  <sheetData>
    <row r="1" spans="1:18" x14ac:dyDescent="0.25">
      <c r="A1" s="43" t="s">
        <v>72</v>
      </c>
    </row>
    <row r="2" spans="1:18" ht="90" x14ac:dyDescent="0.25">
      <c r="A2" s="40" t="s">
        <v>49</v>
      </c>
      <c r="B2" s="40" t="s">
        <v>26</v>
      </c>
      <c r="C2" s="40" t="s">
        <v>27</v>
      </c>
      <c r="D2" s="40" t="s">
        <v>50</v>
      </c>
      <c r="E2" s="40" t="s">
        <v>9</v>
      </c>
      <c r="F2" s="40" t="s">
        <v>73</v>
      </c>
      <c r="G2" s="40" t="s">
        <v>52</v>
      </c>
      <c r="H2" s="40" t="s">
        <v>51</v>
      </c>
      <c r="I2" s="40" t="s">
        <v>53</v>
      </c>
      <c r="J2" s="40" t="s">
        <v>54</v>
      </c>
      <c r="K2" s="41" t="s">
        <v>59</v>
      </c>
      <c r="L2" s="41" t="s">
        <v>55</v>
      </c>
      <c r="M2" s="41" t="s">
        <v>56</v>
      </c>
      <c r="N2" s="40" t="s">
        <v>57</v>
      </c>
      <c r="O2" s="40" t="s">
        <v>78</v>
      </c>
      <c r="P2" s="40" t="s">
        <v>58</v>
      </c>
      <c r="Q2" s="40" t="s">
        <v>74</v>
      </c>
      <c r="R2" s="40" t="s">
        <v>75</v>
      </c>
    </row>
    <row r="3" spans="1:18" x14ac:dyDescent="0.25">
      <c r="A3" t="s">
        <v>60</v>
      </c>
      <c r="B3">
        <v>28033</v>
      </c>
      <c r="C3" t="s">
        <v>61</v>
      </c>
      <c r="D3" t="s">
        <v>62</v>
      </c>
      <c r="E3" t="s">
        <v>63</v>
      </c>
      <c r="F3">
        <v>4.6426360000000004</v>
      </c>
      <c r="G3">
        <f>5.334-4.942636</f>
        <v>0.39136399999999938</v>
      </c>
      <c r="H3">
        <v>4.7890833628999996</v>
      </c>
      <c r="I3">
        <v>4.7617211907000003</v>
      </c>
      <c r="J3">
        <v>4.8604965369000004</v>
      </c>
      <c r="K3">
        <v>0.43789735460000001</v>
      </c>
      <c r="L3">
        <v>0.43539534320000001</v>
      </c>
      <c r="M3">
        <v>0.44442762699999999</v>
      </c>
      <c r="N3">
        <f>AVERAGE(K3/H3,L3/I3,M3/J3)</f>
        <v>9.1436596166547035E-2</v>
      </c>
      <c r="O3">
        <f>G3*N3</f>
        <v>3.5784992022124457E-2</v>
      </c>
      <c r="P3">
        <f>(L3+(M3-L3)/(2026-2023)*(2036-2023))*G3/(G3+F3)</f>
        <v>3.6892334035936634E-2</v>
      </c>
      <c r="Q3">
        <f>O3/31</f>
        <v>1.1543545813588534E-3</v>
      </c>
      <c r="R3">
        <f>P3/31</f>
        <v>1.1900752914818268E-3</v>
      </c>
    </row>
    <row r="4" spans="1:18" x14ac:dyDescent="0.25">
      <c r="A4" t="s">
        <v>60</v>
      </c>
      <c r="B4">
        <v>28033</v>
      </c>
      <c r="C4" t="s">
        <v>61</v>
      </c>
      <c r="D4" t="s">
        <v>62</v>
      </c>
      <c r="E4" t="s">
        <v>64</v>
      </c>
      <c r="F4">
        <v>5.6346639999999999</v>
      </c>
      <c r="G4">
        <f>6.017-5.634664</f>
        <v>0.38233600000000045</v>
      </c>
      <c r="H4">
        <v>6.1950474269000004</v>
      </c>
      <c r="I4">
        <v>6.3545798266000002</v>
      </c>
      <c r="J4">
        <v>6.4964247645000004</v>
      </c>
      <c r="K4">
        <v>0.56645347970000004</v>
      </c>
      <c r="L4">
        <v>0.5810410225</v>
      </c>
      <c r="M4">
        <v>0.59401070339999995</v>
      </c>
      <c r="N4">
        <f>AVERAGE(K4/H4,L4/I4,M4/J4)</f>
        <v>9.1436545271660397E-2</v>
      </c>
      <c r="O4">
        <f>G4*N4</f>
        <v>3.4959482972985588E-2</v>
      </c>
      <c r="P4">
        <f>(L4+(M4-L4)/(2026-2023)*(2036-2023))*G4/(G4+F4)</f>
        <v>4.0492093958852789E-2</v>
      </c>
      <c r="Q4">
        <f>O4/31</f>
        <v>1.1277252571930834E-3</v>
      </c>
      <c r="R4">
        <f>P4/31</f>
        <v>1.3061965793178319E-3</v>
      </c>
    </row>
    <row r="7" spans="1:18" x14ac:dyDescent="0.25">
      <c r="A7" s="43" t="s">
        <v>76</v>
      </c>
    </row>
    <row r="9" spans="1:18" ht="45" x14ac:dyDescent="0.25">
      <c r="A9" s="80" t="s">
        <v>65</v>
      </c>
      <c r="B9" s="42"/>
      <c r="C9" s="42" t="s">
        <v>66</v>
      </c>
      <c r="D9" s="42" t="s">
        <v>67</v>
      </c>
      <c r="E9" s="42" t="s">
        <v>68</v>
      </c>
      <c r="F9" s="42" t="s">
        <v>69</v>
      </c>
      <c r="G9" s="42" t="s">
        <v>70</v>
      </c>
    </row>
    <row r="10" spans="1:18" x14ac:dyDescent="0.25">
      <c r="A10" s="80"/>
      <c r="B10" t="s">
        <v>71</v>
      </c>
      <c r="C10">
        <v>4.9426357599999999</v>
      </c>
      <c r="D10">
        <v>9.1652630218135958</v>
      </c>
      <c r="E10">
        <v>9.1436596166547035E-2</v>
      </c>
      <c r="F10">
        <v>1.4578638386627558E-2</v>
      </c>
      <c r="G10">
        <v>2.703356302212117E-2</v>
      </c>
    </row>
    <row r="11" spans="1:18" x14ac:dyDescent="0.25">
      <c r="A11" s="80"/>
      <c r="B11" t="s">
        <v>2</v>
      </c>
      <c r="C11">
        <v>5.6346639200000004</v>
      </c>
      <c r="D11">
        <v>10.448509534986094</v>
      </c>
      <c r="E11">
        <v>9.1436596166547035E-2</v>
      </c>
      <c r="F11">
        <v>1.6619822238298481E-2</v>
      </c>
      <c r="G11">
        <v>3.081858538363999E-2</v>
      </c>
    </row>
    <row r="14" spans="1:18" x14ac:dyDescent="0.25">
      <c r="A14" s="43" t="s">
        <v>77</v>
      </c>
    </row>
    <row r="15" spans="1:18" x14ac:dyDescent="0.25">
      <c r="A15" s="41"/>
      <c r="B15" s="41"/>
      <c r="C15" s="44">
        <v>2017</v>
      </c>
      <c r="D15" s="44">
        <v>2036</v>
      </c>
    </row>
    <row r="16" spans="1:18" x14ac:dyDescent="0.25">
      <c r="A16" s="41"/>
      <c r="B16" s="41" t="s">
        <v>71</v>
      </c>
      <c r="C16" s="14">
        <f>F10+Q3</f>
        <v>1.5732992967986411E-2</v>
      </c>
      <c r="D16" s="14">
        <f>R3+G10</f>
        <v>2.8223638313602997E-2</v>
      </c>
    </row>
    <row r="17" spans="1:4" x14ac:dyDescent="0.25">
      <c r="A17" s="41"/>
      <c r="B17" s="41" t="s">
        <v>2</v>
      </c>
      <c r="C17" s="14">
        <f>F11+Q4</f>
        <v>1.7747547495491563E-2</v>
      </c>
      <c r="D17" s="14">
        <f>R4+G11</f>
        <v>3.2124781962957823E-2</v>
      </c>
    </row>
  </sheetData>
  <mergeCells count="1">
    <mergeCell ref="A9:A1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2F8EB-752E-4CBA-8EA3-CE266683D321}">
  <sheetPr codeName="Sheet5"/>
  <dimension ref="A1:C7"/>
  <sheetViews>
    <sheetView workbookViewId="0">
      <selection activeCell="B2" sqref="B2:C2"/>
    </sheetView>
  </sheetViews>
  <sheetFormatPr defaultColWidth="16.7109375" defaultRowHeight="29.25" customHeight="1" x14ac:dyDescent="0.25"/>
  <cols>
    <col min="2" max="3" width="20.7109375" customWidth="1"/>
  </cols>
  <sheetData>
    <row r="1" spans="1:3" ht="29.25" customHeight="1" thickBot="1" x14ac:dyDescent="0.3">
      <c r="A1" s="81" t="s">
        <v>48</v>
      </c>
      <c r="B1" s="81"/>
      <c r="C1" s="81"/>
    </row>
    <row r="2" spans="1:3" ht="29.25" customHeight="1" thickTop="1" thickBot="1" x14ac:dyDescent="0.3">
      <c r="A2" s="82" t="s">
        <v>43</v>
      </c>
      <c r="B2" s="85" t="s">
        <v>44</v>
      </c>
      <c r="C2" s="86"/>
    </row>
    <row r="3" spans="1:3" ht="29.25" customHeight="1" thickTop="1" thickBot="1" x14ac:dyDescent="0.3">
      <c r="A3" s="83"/>
      <c r="B3" s="55" t="s">
        <v>45</v>
      </c>
      <c r="C3" s="55" t="s">
        <v>46</v>
      </c>
    </row>
    <row r="4" spans="1:3" ht="29.25" customHeight="1" thickTop="1" thickBot="1" x14ac:dyDescent="0.3">
      <c r="A4" s="84"/>
      <c r="B4" s="37" t="s">
        <v>47</v>
      </c>
      <c r="C4" s="37" t="s">
        <v>47</v>
      </c>
    </row>
    <row r="5" spans="1:3" ht="29.25" customHeight="1" thickTop="1" thickBot="1" x14ac:dyDescent="0.3">
      <c r="A5" s="38">
        <v>2017</v>
      </c>
      <c r="B5" s="39">
        <v>1.060087266</v>
      </c>
      <c r="C5" s="39">
        <v>1.5598256049999999</v>
      </c>
    </row>
    <row r="6" spans="1:3" ht="29.25" customHeight="1" thickTop="1" thickBot="1" x14ac:dyDescent="0.3">
      <c r="A6" s="38">
        <v>2036</v>
      </c>
      <c r="B6" s="39">
        <v>0.82550219300000005</v>
      </c>
      <c r="C6" s="39">
        <v>0.55854113599999999</v>
      </c>
    </row>
    <row r="7" spans="1:3" ht="29.25" customHeight="1" thickTop="1" x14ac:dyDescent="0.25"/>
  </sheetData>
  <mergeCells count="3">
    <mergeCell ref="A1:C1"/>
    <mergeCell ref="A2:A4"/>
    <mergeCell ref="B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FE99-DE52-4E4D-9C6D-9B338C57F2C9}">
  <sheetPr codeName="Sheet6"/>
  <dimension ref="A1:C7"/>
  <sheetViews>
    <sheetView workbookViewId="0">
      <selection sqref="A1:C1"/>
    </sheetView>
  </sheetViews>
  <sheetFormatPr defaultColWidth="17.7109375" defaultRowHeight="15" x14ac:dyDescent="0.25"/>
  <cols>
    <col min="3" max="3" width="19" customWidth="1"/>
  </cols>
  <sheetData>
    <row r="1" spans="1:3" ht="36.75" customHeight="1" thickBot="1" x14ac:dyDescent="0.3">
      <c r="A1" s="81" t="s">
        <v>88</v>
      </c>
      <c r="B1" s="81"/>
      <c r="C1" s="81"/>
    </row>
    <row r="2" spans="1:3" ht="30" customHeight="1" thickTop="1" thickBot="1" x14ac:dyDescent="0.3">
      <c r="A2" s="82" t="s">
        <v>43</v>
      </c>
      <c r="B2" s="85" t="s">
        <v>44</v>
      </c>
      <c r="C2" s="86"/>
    </row>
    <row r="3" spans="1:3" ht="28.5" customHeight="1" thickTop="1" thickBot="1" x14ac:dyDescent="0.3">
      <c r="A3" s="83"/>
      <c r="B3" s="55" t="s">
        <v>45</v>
      </c>
      <c r="C3" s="55" t="s">
        <v>46</v>
      </c>
    </row>
    <row r="4" spans="1:3" ht="40.5" customHeight="1" thickTop="1" thickBot="1" x14ac:dyDescent="0.3">
      <c r="A4" s="84"/>
      <c r="B4" s="37" t="s">
        <v>47</v>
      </c>
      <c r="C4" s="37" t="s">
        <v>47</v>
      </c>
    </row>
    <row r="5" spans="1:3" ht="16.5" thickTop="1" thickBot="1" x14ac:dyDescent="0.3">
      <c r="A5" s="38">
        <v>2017</v>
      </c>
      <c r="B5" s="39">
        <v>3.1550620876667934</v>
      </c>
      <c r="C5" s="39">
        <v>5.9301134829169353</v>
      </c>
    </row>
    <row r="6" spans="1:3" ht="16.5" thickTop="1" thickBot="1" x14ac:dyDescent="0.3">
      <c r="A6" s="38">
        <v>2036</v>
      </c>
      <c r="B6" s="39">
        <v>1.628031768602876</v>
      </c>
      <c r="C6" s="39">
        <v>1.251904517821613</v>
      </c>
    </row>
    <row r="7" spans="1:3" ht="15.75" thickTop="1" x14ac:dyDescent="0.25"/>
  </sheetData>
  <mergeCells count="3">
    <mergeCell ref="A1:C1"/>
    <mergeCell ref="A2:A4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DeSoto_emissions_budget</vt:lpstr>
      <vt:lpstr>point</vt:lpstr>
      <vt:lpstr>nonpoint</vt:lpstr>
      <vt:lpstr>airports</vt:lpstr>
      <vt:lpstr>nonroad</vt:lpstr>
      <vt:lpstr>onroad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Carpenter</dc:creator>
  <cp:lastModifiedBy>Matt Carpenter</cp:lastModifiedBy>
  <dcterms:created xsi:type="dcterms:W3CDTF">2024-03-28T16:57:21Z</dcterms:created>
  <dcterms:modified xsi:type="dcterms:W3CDTF">2024-07-12T16:33:29Z</dcterms:modified>
</cp:coreProperties>
</file>